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charts/chart16.xml" ContentType="application/vnd.openxmlformats-officedocument.drawingml.char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89.xml" ContentType="application/vnd.openxmlformats-officedocument.spreadsheetml.worksheet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charts/chart14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90" windowWidth="16935" windowHeight="5865"/>
  </bookViews>
  <sheets>
    <sheet name="Диаграммы" sheetId="3" r:id="rId1"/>
    <sheet name="Сведения о преступности" sheetId="22" r:id="rId2"/>
    <sheet name="Раскрываемость" sheetId="97" r:id="rId3"/>
    <sheet name="Рейтинг" sheetId="96" state="hidden" r:id="rId4"/>
    <sheet name="Перечень" sheetId="95" state="hidden" r:id="rId5"/>
    <sheet name="Справочник" sheetId="4" state="hidden" r:id="rId6"/>
    <sheet name="01" sheetId="1" state="hidden" r:id="rId7"/>
    <sheet name="02" sheetId="8" state="hidden" r:id="rId8"/>
    <sheet name="03" sheetId="9" state="hidden" r:id="rId9"/>
    <sheet name="04" sheetId="10" state="hidden" r:id="rId10"/>
    <sheet name="05" sheetId="11" state="hidden" r:id="rId11"/>
    <sheet name="06" sheetId="12" state="hidden" r:id="rId12"/>
    <sheet name="07" sheetId="13" state="hidden" r:id="rId13"/>
    <sheet name="08" sheetId="14" state="hidden" r:id="rId14"/>
    <sheet name="09" sheetId="15" state="hidden" r:id="rId15"/>
    <sheet name="10" sheetId="16" state="hidden" r:id="rId16"/>
    <sheet name="11" sheetId="17" state="hidden" r:id="rId17"/>
    <sheet name="12" sheetId="18" state="hidden" r:id="rId18"/>
    <sheet name="400" sheetId="19" state="hidden" r:id="rId19"/>
    <sheet name="300" sheetId="24" state="hidden" r:id="rId20"/>
    <sheet name="101" sheetId="25" state="hidden" r:id="rId21"/>
    <sheet name="102" sheetId="26" state="hidden" r:id="rId22"/>
    <sheet name="103" sheetId="27" state="hidden" r:id="rId23"/>
    <sheet name="104" sheetId="28" state="hidden" r:id="rId24"/>
    <sheet name="104 (4)" sheetId="29" state="hidden" r:id="rId25"/>
    <sheet name="104 (8)" sheetId="30" state="hidden" r:id="rId26"/>
    <sheet name="105" sheetId="31" state="hidden" r:id="rId27"/>
    <sheet name="105 (5)" sheetId="32" state="hidden" r:id="rId28"/>
    <sheet name="105 (9)" sheetId="33" state="hidden" r:id="rId29"/>
    <sheet name="105 (10)" sheetId="34" state="hidden" r:id="rId30"/>
    <sheet name="105 (11)" sheetId="35" state="hidden" r:id="rId31"/>
    <sheet name="106" sheetId="37" state="hidden" r:id="rId32"/>
    <sheet name="106 (6)" sheetId="38" state="hidden" r:id="rId33"/>
    <sheet name="106 (12)" sheetId="39" state="hidden" r:id="rId34"/>
    <sheet name="107" sheetId="40" state="hidden" r:id="rId35"/>
    <sheet name="112" sheetId="41" state="hidden" r:id="rId36"/>
    <sheet name="201" sheetId="42" state="hidden" r:id="rId37"/>
    <sheet name="202" sheetId="43" state="hidden" r:id="rId38"/>
    <sheet name="203" sheetId="44" state="hidden" r:id="rId39"/>
    <sheet name="249" sheetId="45" state="hidden" r:id="rId40"/>
    <sheet name="204" sheetId="46" state="hidden" r:id="rId41"/>
    <sheet name="207" sheetId="47" state="hidden" r:id="rId42"/>
    <sheet name="205" sheetId="48" state="hidden" r:id="rId43"/>
    <sheet name="206" sheetId="49" state="hidden" r:id="rId44"/>
    <sheet name="250" sheetId="50" state="hidden" r:id="rId45"/>
    <sheet name="208" sheetId="51" state="hidden" r:id="rId46"/>
    <sheet name="209" sheetId="52" state="hidden" r:id="rId47"/>
    <sheet name="210" sheetId="53" state="hidden" r:id="rId48"/>
    <sheet name="211" sheetId="54" state="hidden" r:id="rId49"/>
    <sheet name="212" sheetId="55" state="hidden" r:id="rId50"/>
    <sheet name="213" sheetId="56" state="hidden" r:id="rId51"/>
    <sheet name="83" sheetId="57" state="hidden" r:id="rId52"/>
    <sheet name="66" sheetId="58" state="hidden" r:id="rId53"/>
    <sheet name="215" sheetId="59" state="hidden" r:id="rId54"/>
    <sheet name="216" sheetId="60" state="hidden" r:id="rId55"/>
    <sheet name="217" sheetId="61" state="hidden" r:id="rId56"/>
    <sheet name="218" sheetId="62" state="hidden" r:id="rId57"/>
    <sheet name="219" sheetId="63" state="hidden" r:id="rId58"/>
    <sheet name="220" sheetId="64" state="hidden" r:id="rId59"/>
    <sheet name="221" sheetId="65" state="hidden" r:id="rId60"/>
    <sheet name="222" sheetId="66" state="hidden" r:id="rId61"/>
    <sheet name="223" sheetId="67" state="hidden" r:id="rId62"/>
    <sheet name="224" sheetId="68" state="hidden" r:id="rId63"/>
    <sheet name="245" sheetId="69" state="hidden" r:id="rId64"/>
    <sheet name="225" sheetId="70" state="hidden" r:id="rId65"/>
    <sheet name="226" sheetId="71" state="hidden" r:id="rId66"/>
    <sheet name="227" sheetId="72" state="hidden" r:id="rId67"/>
    <sheet name="228" sheetId="73" state="hidden" r:id="rId68"/>
    <sheet name="229" sheetId="74" state="hidden" r:id="rId69"/>
    <sheet name="230" sheetId="75" state="hidden" r:id="rId70"/>
    <sheet name="231" sheetId="76" state="hidden" r:id="rId71"/>
    <sheet name="232" sheetId="77" state="hidden" r:id="rId72"/>
    <sheet name="233" sheetId="78" state="hidden" r:id="rId73"/>
    <sheet name="234" sheetId="79" state="hidden" r:id="rId74"/>
    <sheet name="235" sheetId="80" state="hidden" r:id="rId75"/>
    <sheet name="236" sheetId="81" state="hidden" r:id="rId76"/>
    <sheet name="252" sheetId="82" state="hidden" r:id="rId77"/>
    <sheet name="237" sheetId="83" state="hidden" r:id="rId78"/>
    <sheet name="301" sheetId="84" state="hidden" r:id="rId79"/>
    <sheet name="238" sheetId="85" state="hidden" r:id="rId80"/>
    <sheet name="239" sheetId="86" state="hidden" r:id="rId81"/>
    <sheet name="240" sheetId="87" state="hidden" r:id="rId82"/>
    <sheet name="241" sheetId="88" state="hidden" r:id="rId83"/>
    <sheet name="241 (Ужур)" sheetId="89" state="hidden" r:id="rId84"/>
    <sheet name="241 (Солнечный)" sheetId="90" state="hidden" r:id="rId85"/>
    <sheet name="242" sheetId="91" state="hidden" r:id="rId86"/>
    <sheet name="243" sheetId="92" state="hidden" r:id="rId87"/>
    <sheet name="244" sheetId="93" state="hidden" r:id="rId88"/>
    <sheet name="401" sheetId="94" state="hidden" r:id="rId89"/>
    <sheet name="860" sheetId="36" state="hidden" r:id="rId90"/>
    <sheet name="Лист2" sheetId="99" state="hidden" r:id="rId91"/>
    <sheet name="Лист3" sheetId="100" state="hidden" r:id="rId92"/>
    <sheet name="АНАЛИЗ МОЙ" sheetId="101" state="hidden" r:id="rId93"/>
    <sheet name="ОМ" sheetId="102" state="hidden" r:id="rId94"/>
    <sheet name="АО" sheetId="103" state="hidden" r:id="rId95"/>
  </sheets>
  <definedNames>
    <definedName name="_xlnm._FilterDatabase" localSheetId="6" hidden="1">'01'!$A$5:$U$269</definedName>
    <definedName name="_xlnm._FilterDatabase" localSheetId="7" hidden="1">'02'!$A$5:$U$269</definedName>
    <definedName name="_xlnm._FilterDatabase" localSheetId="8" hidden="1">'03'!$A$5:$U$269</definedName>
    <definedName name="_xlnm._FilterDatabase" localSheetId="9" hidden="1">'04'!$A$5:$U$269</definedName>
    <definedName name="_xlnm._FilterDatabase" localSheetId="10" hidden="1">'05'!$A$5:$U$269</definedName>
    <definedName name="_xlnm._FilterDatabase" localSheetId="11" hidden="1">'06'!$A$5:$U$269</definedName>
    <definedName name="_xlnm._FilterDatabase" localSheetId="12" hidden="1">'07'!$A$5:$U$269</definedName>
    <definedName name="_xlnm._FilterDatabase" localSheetId="13" hidden="1">'08'!$A$5:$U$269</definedName>
    <definedName name="_xlnm._FilterDatabase" localSheetId="14" hidden="1">'09'!$A$5:$U$269</definedName>
    <definedName name="_xlnm._FilterDatabase" localSheetId="15" hidden="1">'10'!$A$5:$U$269</definedName>
    <definedName name="_xlnm._FilterDatabase" localSheetId="16" hidden="1">'11'!$A$5:$U$269</definedName>
    <definedName name="_xlnm._FilterDatabase" localSheetId="17" hidden="1">'12'!$A$5:$U$269</definedName>
    <definedName name="всего2013">OFFSET(Диаграммы!C15,0,0,1,Диаграммы!O15)</definedName>
    <definedName name="всего2014">OFFSET(Диаграммы!C16,0,0,1,Диаграммы!O15)</definedName>
    <definedName name="_xlnm.Print_Titles" localSheetId="3">Рейтинг!$5:$5</definedName>
    <definedName name="йй" localSheetId="7">#REF!</definedName>
    <definedName name="йй" localSheetId="8">#REF!</definedName>
    <definedName name="йй" localSheetId="9">#REF!</definedName>
    <definedName name="йй" localSheetId="10">#REF!</definedName>
    <definedName name="йй" localSheetId="11">#REF!</definedName>
    <definedName name="йй" localSheetId="12">#REF!</definedName>
    <definedName name="йй" localSheetId="13">#REF!</definedName>
    <definedName name="йй" localSheetId="14">#REF!</definedName>
    <definedName name="йй" localSheetId="15">#REF!</definedName>
    <definedName name="йй" localSheetId="20">#REF!</definedName>
    <definedName name="йй" localSheetId="21">#REF!</definedName>
    <definedName name="йй" localSheetId="22">#REF!</definedName>
    <definedName name="йй" localSheetId="23">#REF!</definedName>
    <definedName name="йй" localSheetId="24">#REF!</definedName>
    <definedName name="йй" localSheetId="25">#REF!</definedName>
    <definedName name="йй" localSheetId="26">#REF!</definedName>
    <definedName name="йй" localSheetId="29">#REF!</definedName>
    <definedName name="йй" localSheetId="30">#REF!</definedName>
    <definedName name="йй" localSheetId="27">#REF!</definedName>
    <definedName name="йй" localSheetId="28">#REF!</definedName>
    <definedName name="йй" localSheetId="31">#REF!</definedName>
    <definedName name="йй" localSheetId="33">#REF!</definedName>
    <definedName name="йй" localSheetId="32">#REF!</definedName>
    <definedName name="йй" localSheetId="34">#REF!</definedName>
    <definedName name="йй" localSheetId="16">#REF!</definedName>
    <definedName name="йй" localSheetId="35">#REF!</definedName>
    <definedName name="йй" localSheetId="17">#REF!</definedName>
    <definedName name="йй" localSheetId="36">#REF!</definedName>
    <definedName name="йй" localSheetId="37">#REF!</definedName>
    <definedName name="йй" localSheetId="38">#REF!</definedName>
    <definedName name="йй" localSheetId="40">#REF!</definedName>
    <definedName name="йй" localSheetId="42">#REF!</definedName>
    <definedName name="йй" localSheetId="43">#REF!</definedName>
    <definedName name="йй" localSheetId="41">#REF!</definedName>
    <definedName name="йй" localSheetId="45">#REF!</definedName>
    <definedName name="йй" localSheetId="46">#REF!</definedName>
    <definedName name="йй" localSheetId="47">#REF!</definedName>
    <definedName name="йй" localSheetId="48">#REF!</definedName>
    <definedName name="йй" localSheetId="49">#REF!</definedName>
    <definedName name="йй" localSheetId="50">#REF!</definedName>
    <definedName name="йй" localSheetId="53">#REF!</definedName>
    <definedName name="йй" localSheetId="54">#REF!</definedName>
    <definedName name="йй" localSheetId="55">#REF!</definedName>
    <definedName name="йй" localSheetId="56">#REF!</definedName>
    <definedName name="йй" localSheetId="57">#REF!</definedName>
    <definedName name="йй" localSheetId="58">#REF!</definedName>
    <definedName name="йй" localSheetId="59">#REF!</definedName>
    <definedName name="йй" localSheetId="60">#REF!</definedName>
    <definedName name="йй" localSheetId="61">#REF!</definedName>
    <definedName name="йй" localSheetId="62">#REF!</definedName>
    <definedName name="йй" localSheetId="64">#REF!</definedName>
    <definedName name="йй" localSheetId="65">#REF!</definedName>
    <definedName name="йй" localSheetId="66">#REF!</definedName>
    <definedName name="йй" localSheetId="67">#REF!</definedName>
    <definedName name="йй" localSheetId="68">#REF!</definedName>
    <definedName name="йй" localSheetId="69">#REF!</definedName>
    <definedName name="йй" localSheetId="70">#REF!</definedName>
    <definedName name="йй" localSheetId="71">#REF!</definedName>
    <definedName name="йй" localSheetId="72">#REF!</definedName>
    <definedName name="йй" localSheetId="73">#REF!</definedName>
    <definedName name="йй" localSheetId="74">#REF!</definedName>
    <definedName name="йй" localSheetId="75">#REF!</definedName>
    <definedName name="йй" localSheetId="77">#REF!</definedName>
    <definedName name="йй" localSheetId="79">#REF!</definedName>
    <definedName name="йй" localSheetId="80">#REF!</definedName>
    <definedName name="йй" localSheetId="81">#REF!</definedName>
    <definedName name="йй" localSheetId="82">#REF!</definedName>
    <definedName name="йй" localSheetId="84">#REF!</definedName>
    <definedName name="йй" localSheetId="83">#REF!</definedName>
    <definedName name="йй" localSheetId="85">#REF!</definedName>
    <definedName name="йй" localSheetId="86">#REF!</definedName>
    <definedName name="йй" localSheetId="87">#REF!</definedName>
    <definedName name="йй" localSheetId="63">#REF!</definedName>
    <definedName name="йй" localSheetId="39">#REF!</definedName>
    <definedName name="йй" localSheetId="44">#REF!</definedName>
    <definedName name="йй" localSheetId="76">#REF!</definedName>
    <definedName name="йй" localSheetId="19">#REF!</definedName>
    <definedName name="йй" localSheetId="78">#REF!</definedName>
    <definedName name="йй" localSheetId="18">#REF!</definedName>
    <definedName name="йй" localSheetId="88">#REF!</definedName>
    <definedName name="йй" localSheetId="52">#REF!</definedName>
    <definedName name="йй" localSheetId="51">#REF!</definedName>
    <definedName name="йй" localSheetId="89">#REF!</definedName>
    <definedName name="йй">#REF!</definedName>
    <definedName name="_xlnm.Print_Area" localSheetId="92">'АНАЛИЗ МОЙ'!$A$1:$J$25</definedName>
    <definedName name="_xlnm.Print_Area" localSheetId="0">Диаграммы!$A$3:$Y$106</definedName>
    <definedName name="_xlnm.Print_Area" localSheetId="2">Раскрываемость!$A$1:$L$13</definedName>
    <definedName name="_xlnm.Print_Area" localSheetId="3">Рейтинг!$A$5:$AC$64</definedName>
    <definedName name="_xlnm.Print_Area" localSheetId="1">'Сведения о преступности'!$A$1:$N$41</definedName>
  </definedNames>
  <calcPr calcId="124519" calcOnSave="0"/>
</workbook>
</file>

<file path=xl/calcChain.xml><?xml version="1.0" encoding="utf-8"?>
<calcChain xmlns="http://schemas.openxmlformats.org/spreadsheetml/2006/main">
  <c r="C1" i="101"/>
  <c r="C3" i="102"/>
  <c r="D2" i="19"/>
  <c r="D2" i="77"/>
  <c r="D2" i="70"/>
  <c r="D2" i="91"/>
  <c r="D2" i="74"/>
  <c r="D2" i="63"/>
  <c r="D2" i="80"/>
  <c r="D2" i="61"/>
  <c r="D2" i="60"/>
  <c r="D2" i="58"/>
  <c r="D2" i="79"/>
  <c r="D2" i="50"/>
  <c r="D2" i="85"/>
  <c r="D2" i="52"/>
  <c r="D2" i="42"/>
  <c r="D2" i="94"/>
  <c r="D2" i="86"/>
  <c r="D2" i="84"/>
  <c r="D2" i="81"/>
  <c r="D2" i="76"/>
  <c r="D2" i="72"/>
  <c r="D2" i="69"/>
  <c r="D2" i="65"/>
  <c r="D2" i="47"/>
  <c r="D2" i="78"/>
  <c r="D2" i="62"/>
  <c r="D2" i="55"/>
  <c r="D2" i="49"/>
  <c r="D2" i="73"/>
  <c r="D2" i="66"/>
  <c r="D2" i="57"/>
  <c r="D2" i="83"/>
  <c r="D2" i="54"/>
  <c r="D2" i="51"/>
  <c r="D2" i="46"/>
  <c r="D2" i="48"/>
  <c r="D2" i="87"/>
  <c r="D2" i="82"/>
  <c r="D2" i="45"/>
  <c r="D2" i="53"/>
  <c r="D2" i="43"/>
  <c r="K6" i="97"/>
  <c r="J6"/>
  <c r="G6"/>
  <c r="F6"/>
  <c r="C6"/>
  <c r="B6"/>
  <c r="A3"/>
  <c r="T2"/>
  <c r="S2"/>
  <c r="Q2"/>
  <c r="O1" i="101" s="1"/>
  <c r="K1" i="96"/>
  <c r="J1"/>
  <c r="CN73" i="3"/>
  <c r="CN71"/>
  <c r="N15"/>
  <c r="N4"/>
  <c r="E80"/>
  <c r="E70"/>
  <c r="D4"/>
  <c r="A4" i="97" l="1"/>
  <c r="L5" i="22"/>
  <c r="K5"/>
  <c r="H5"/>
  <c r="G5"/>
  <c r="D5"/>
  <c r="C5"/>
  <c r="C106" i="9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BG16" i="3"/>
  <c r="BG18" s="1"/>
  <c r="BG20" s="1"/>
  <c r="BG22" s="1"/>
  <c r="BG24" s="1"/>
  <c r="BG26" s="1"/>
  <c r="BG28" s="1"/>
  <c r="BG30" s="1"/>
  <c r="BG50" s="1"/>
  <c r="BG52" s="1"/>
  <c r="BG54" s="1"/>
  <c r="BG56" s="1"/>
  <c r="BG58" s="1"/>
  <c r="BG60" s="1"/>
  <c r="BG62" s="1"/>
  <c r="BG64" s="1"/>
  <c r="BG66" s="1"/>
  <c r="BG15"/>
  <c r="BG17" s="1"/>
  <c r="BG19" s="1"/>
  <c r="BG21" s="1"/>
  <c r="BG23" s="1"/>
  <c r="BG25" s="1"/>
  <c r="BG27" s="1"/>
  <c r="BG29" s="1"/>
  <c r="BG49" s="1"/>
  <c r="BG51" s="1"/>
  <c r="BG53" s="1"/>
  <c r="BG55" s="1"/>
  <c r="BG57" s="1"/>
  <c r="BG59" s="1"/>
  <c r="BG61" s="1"/>
  <c r="BG63" s="1"/>
  <c r="BG65" s="1"/>
  <c r="J53" i="85"/>
  <c r="J58"/>
  <c r="J32"/>
  <c r="J52"/>
  <c r="J70"/>
  <c r="J34" i="52"/>
  <c r="J88"/>
  <c r="J98"/>
  <c r="J44"/>
  <c r="J45"/>
  <c r="J91"/>
  <c r="J79" i="42"/>
  <c r="J26"/>
  <c r="J80"/>
  <c r="J47"/>
  <c r="J56"/>
  <c r="J104"/>
  <c r="J6"/>
  <c r="J22" i="85"/>
  <c r="J89"/>
  <c r="J44"/>
  <c r="J80" i="52"/>
  <c r="J54"/>
  <c r="J40"/>
  <c r="J49" i="42"/>
  <c r="J58"/>
  <c r="J36" i="85"/>
  <c r="J59"/>
  <c r="J45"/>
  <c r="J85"/>
  <c r="J27"/>
  <c r="J73"/>
  <c r="J30" i="52"/>
  <c r="J15"/>
  <c r="J104"/>
  <c r="J50"/>
  <c r="J97"/>
  <c r="J88" i="42"/>
  <c r="J103"/>
  <c r="J24"/>
  <c r="J107"/>
  <c r="J68" i="85"/>
  <c r="J65"/>
  <c r="J70" i="52"/>
  <c r="J4" i="42"/>
  <c r="J55"/>
  <c r="J12" i="85"/>
  <c r="J14"/>
  <c r="J31"/>
  <c r="J9"/>
  <c r="J35"/>
  <c r="J11" i="52"/>
  <c r="J20"/>
  <c r="J85"/>
  <c r="J65"/>
  <c r="J103"/>
  <c r="J58"/>
  <c r="J13" i="42"/>
  <c r="J38"/>
  <c r="J41"/>
  <c r="J44"/>
  <c r="J23"/>
  <c r="J18" i="85"/>
  <c r="J41" i="52"/>
  <c r="J36" i="42"/>
  <c r="J7"/>
  <c r="J26" i="85"/>
  <c r="J74"/>
  <c r="J98"/>
  <c r="J42"/>
  <c r="J33"/>
  <c r="J21"/>
  <c r="J106" i="52"/>
  <c r="J14"/>
  <c r="J92"/>
  <c r="J25"/>
  <c r="J62"/>
  <c r="J25" i="42"/>
  <c r="J74"/>
  <c r="J8"/>
  <c r="J71"/>
  <c r="J106"/>
  <c r="J28"/>
  <c r="J14"/>
  <c r="J49" i="85"/>
  <c r="J20"/>
  <c r="J28"/>
  <c r="J24"/>
  <c r="J7" i="52"/>
  <c r="J89"/>
  <c r="J17" i="42"/>
  <c r="J53"/>
  <c r="J46"/>
  <c r="J46" i="85"/>
  <c r="J39"/>
  <c r="J95"/>
  <c r="J62"/>
  <c r="J38"/>
  <c r="J52" i="52"/>
  <c r="J28"/>
  <c r="J101"/>
  <c r="J26"/>
  <c r="J8"/>
  <c r="J9"/>
  <c r="J65" i="42"/>
  <c r="J86"/>
  <c r="J70"/>
  <c r="J67" i="85"/>
  <c r="J19"/>
  <c r="J22" i="52"/>
  <c r="J68"/>
  <c r="J19" i="42"/>
  <c r="J51" i="85"/>
  <c r="J30"/>
  <c r="J17"/>
  <c r="J107"/>
  <c r="J15"/>
  <c r="J25"/>
  <c r="J67" i="52"/>
  <c r="J5"/>
  <c r="J59"/>
  <c r="J56"/>
  <c r="J49"/>
  <c r="J92" i="42"/>
  <c r="J31"/>
  <c r="J94"/>
  <c r="J21"/>
  <c r="J83"/>
  <c r="J54"/>
  <c r="J77" i="52"/>
  <c r="J53"/>
  <c r="J50" i="42"/>
  <c r="J89"/>
  <c r="J86" i="85"/>
  <c r="J29"/>
  <c r="J103"/>
  <c r="J4"/>
  <c r="J6"/>
  <c r="J41"/>
  <c r="J94" i="52"/>
  <c r="J32"/>
  <c r="J61"/>
  <c r="J27"/>
  <c r="J31"/>
  <c r="J37" i="42"/>
  <c r="J16"/>
  <c r="J57"/>
  <c r="J34"/>
  <c r="J98"/>
  <c r="J77"/>
  <c r="J33"/>
  <c r="J95"/>
  <c r="J77" i="85"/>
  <c r="J82"/>
  <c r="J47"/>
  <c r="J86" i="52"/>
  <c r="J76"/>
  <c r="J91" i="42"/>
  <c r="J40"/>
  <c r="J100"/>
  <c r="J55" i="85"/>
  <c r="J76"/>
  <c r="J106"/>
  <c r="J8"/>
  <c r="J50"/>
  <c r="J95" i="52"/>
  <c r="J39"/>
  <c r="J100"/>
  <c r="J51"/>
  <c r="J36"/>
  <c r="J43"/>
  <c r="J39" i="42"/>
  <c r="J67"/>
  <c r="J9"/>
  <c r="J68"/>
  <c r="J92" i="85"/>
  <c r="J37" i="52"/>
  <c r="J23"/>
  <c r="J64" i="42"/>
  <c r="J64" i="85"/>
  <c r="J10"/>
  <c r="J7"/>
  <c r="J80"/>
  <c r="J101"/>
  <c r="J16"/>
  <c r="J10" i="52"/>
  <c r="J46"/>
  <c r="J82"/>
  <c r="J42"/>
  <c r="J107"/>
  <c r="J11" i="42"/>
  <c r="J59"/>
  <c r="J27"/>
  <c r="J51"/>
  <c r="J15"/>
  <c r="J29"/>
  <c r="J38" i="52"/>
  <c r="J17"/>
  <c r="J76" i="42"/>
  <c r="J5" i="85"/>
  <c r="J71"/>
  <c r="J40"/>
  <c r="J91"/>
  <c r="J23"/>
  <c r="J57" i="52"/>
  <c r="J47"/>
  <c r="J79"/>
  <c r="J21"/>
  <c r="J83"/>
  <c r="J35"/>
  <c r="J30" i="42"/>
  <c r="J73"/>
  <c r="J45"/>
  <c r="J85"/>
  <c r="J35"/>
  <c r="J10"/>
  <c r="J22"/>
  <c r="J104" i="85"/>
  <c r="J11"/>
  <c r="J88"/>
  <c r="J19" i="52"/>
  <c r="J71"/>
  <c r="J4"/>
  <c r="J101" i="42"/>
  <c r="J32"/>
  <c r="J57" i="85"/>
  <c r="J43"/>
  <c r="J48"/>
  <c r="J83"/>
  <c r="J56"/>
  <c r="J61"/>
  <c r="J74" i="52"/>
  <c r="J18"/>
  <c r="J29"/>
  <c r="J6"/>
  <c r="J48"/>
  <c r="J97" i="42"/>
  <c r="J62"/>
  <c r="J20"/>
  <c r="J61"/>
  <c r="J34" i="85"/>
  <c r="J54"/>
  <c r="J24" i="52"/>
  <c r="J18" i="42"/>
  <c r="J42"/>
  <c r="J100" i="85"/>
  <c r="J37"/>
  <c r="J97"/>
  <c r="J94"/>
  <c r="J13"/>
  <c r="J13" i="52"/>
  <c r="J64"/>
  <c r="J33"/>
  <c r="J73"/>
  <c r="J12"/>
  <c r="J55"/>
  <c r="J12" i="42"/>
  <c r="J82"/>
  <c r="J43"/>
  <c r="J52"/>
  <c r="J5"/>
  <c r="J79" i="85"/>
  <c r="J16" i="52"/>
  <c r="J48" i="42"/>
  <c r="C106" i="19" l="1"/>
  <c r="C108" s="1"/>
  <c r="C103"/>
  <c r="C105" s="1"/>
  <c r="C100" l="1"/>
  <c r="C102" s="1"/>
  <c r="C97"/>
  <c r="C99" s="1"/>
  <c r="C94" l="1"/>
  <c r="C96" s="1"/>
  <c r="C91"/>
  <c r="C93" s="1"/>
  <c r="C88" l="1"/>
  <c r="C90" s="1"/>
  <c r="C85"/>
  <c r="C87" s="1"/>
  <c r="K70" i="79"/>
  <c r="O85" i="42"/>
  <c r="M30" i="79"/>
  <c r="O24" i="50"/>
  <c r="O82" i="85"/>
  <c r="K94" i="52"/>
  <c r="L68" i="85"/>
  <c r="N55" i="42"/>
  <c r="K46" i="52"/>
  <c r="L18" i="79"/>
  <c r="N57" i="42"/>
  <c r="K34" i="50"/>
  <c r="M29" i="85"/>
  <c r="N5" i="52"/>
  <c r="L80" i="50"/>
  <c r="M95" i="52"/>
  <c r="K71" i="79"/>
  <c r="O104" i="42"/>
  <c r="N98" i="79"/>
  <c r="M41" i="85"/>
  <c r="O83"/>
  <c r="K95" i="52"/>
  <c r="E5" i="42"/>
  <c r="M64"/>
  <c r="M53"/>
  <c r="N55" i="52"/>
  <c r="M13" i="50"/>
  <c r="K33"/>
  <c r="K51" i="52"/>
  <c r="N40"/>
  <c r="O4" i="50"/>
  <c r="K54"/>
  <c r="M50" i="52"/>
  <c r="O20" i="50"/>
  <c r="L19" i="85"/>
  <c r="L14" i="79"/>
  <c r="K104" i="52"/>
  <c r="K40"/>
  <c r="M62" i="85"/>
  <c r="M104" i="79"/>
  <c r="N17" i="85"/>
  <c r="L77"/>
  <c r="L86" i="50"/>
  <c r="N19"/>
  <c r="N41"/>
  <c r="N95"/>
  <c r="O15" i="52"/>
  <c r="N71" i="85"/>
  <c r="E107" i="42"/>
  <c r="N52" i="85"/>
  <c r="L89" i="52"/>
  <c r="N38" i="42"/>
  <c r="K77" i="85"/>
  <c r="O40" i="52"/>
  <c r="I5" i="42"/>
  <c r="N11" i="85"/>
  <c r="M65" i="52"/>
  <c r="N97" i="85"/>
  <c r="M30" i="50"/>
  <c r="M92" i="42"/>
  <c r="K88" i="79"/>
  <c r="L94"/>
  <c r="L17"/>
  <c r="F17" i="42"/>
  <c r="K76" i="79"/>
  <c r="O77" i="42"/>
  <c r="K76"/>
  <c r="M12" i="85"/>
  <c r="O88"/>
  <c r="K101" i="52"/>
  <c r="K107" i="42"/>
  <c r="N51" i="79"/>
  <c r="K95" i="50"/>
  <c r="K8" i="42"/>
  <c r="N61" i="85"/>
  <c r="L94" i="52"/>
  <c r="N49" i="50"/>
  <c r="L77" i="52"/>
  <c r="L88" i="85"/>
  <c r="N76" i="50"/>
  <c r="K77" i="79"/>
  <c r="O83" i="42"/>
  <c r="G31"/>
  <c r="D39"/>
  <c r="O89" i="85"/>
  <c r="K100" i="52"/>
  <c r="G65" i="42"/>
  <c r="L85"/>
  <c r="K100" i="50"/>
  <c r="K39" i="42"/>
  <c r="L98" i="52"/>
  <c r="L45"/>
  <c r="N29" i="42"/>
  <c r="L71" i="52"/>
  <c r="D82" i="42"/>
  <c r="K74" i="52"/>
  <c r="L40" i="50"/>
  <c r="K12" i="42"/>
  <c r="O6" i="52"/>
  <c r="K21" i="79"/>
  <c r="O32" i="50"/>
  <c r="M79" i="42"/>
  <c r="M43" i="50"/>
  <c r="L77" i="42"/>
  <c r="N37" i="85"/>
  <c r="L61" i="79"/>
  <c r="M6" i="85"/>
  <c r="K92" i="79"/>
  <c r="N26" i="50"/>
  <c r="N52" i="79"/>
  <c r="L42"/>
  <c r="O20" i="52"/>
  <c r="L19" i="42"/>
  <c r="L47"/>
  <c r="N45" i="50"/>
  <c r="M26" i="85"/>
  <c r="O28"/>
  <c r="H94" i="42"/>
  <c r="N17" i="52"/>
  <c r="O30" i="85"/>
  <c r="O45"/>
  <c r="O18" i="50"/>
  <c r="D17" i="42"/>
  <c r="L68" i="79"/>
  <c r="M80" i="42"/>
  <c r="L13" i="50"/>
  <c r="O6" i="79"/>
  <c r="M40" i="52"/>
  <c r="L64" i="42"/>
  <c r="N83"/>
  <c r="M104" i="52"/>
  <c r="N68" i="85"/>
  <c r="O29"/>
  <c r="N107" i="79"/>
  <c r="O98" i="42"/>
  <c r="F35"/>
  <c r="M82"/>
  <c r="K38" i="79"/>
  <c r="O49" i="85"/>
  <c r="N80" i="52"/>
  <c r="N25"/>
  <c r="O27"/>
  <c r="O64" i="79"/>
  <c r="H76" i="42"/>
  <c r="K53"/>
  <c r="L36"/>
  <c r="N29" i="79"/>
  <c r="L35"/>
  <c r="O16" i="85"/>
  <c r="L29" i="42"/>
  <c r="K61" i="50"/>
  <c r="N68" i="52"/>
  <c r="N15" i="42"/>
  <c r="K26" i="85"/>
  <c r="N94"/>
  <c r="L18" i="52"/>
  <c r="M12" i="50"/>
  <c r="N47"/>
  <c r="M62"/>
  <c r="N9" i="85"/>
  <c r="K6" i="42"/>
  <c r="N54" i="79"/>
  <c r="O73"/>
  <c r="M15" i="52"/>
  <c r="N67" i="50"/>
  <c r="M14"/>
  <c r="N101" i="85"/>
  <c r="M45" i="42"/>
  <c r="H27"/>
  <c r="L32" i="50"/>
  <c r="O53" i="52"/>
  <c r="N91" i="85"/>
  <c r="E89" i="42"/>
  <c r="L19" i="50"/>
  <c r="E11" i="42"/>
  <c r="K70"/>
  <c r="K21" i="52"/>
  <c r="K20" i="85"/>
  <c r="K101" i="42"/>
  <c r="I76"/>
  <c r="N76" i="79"/>
  <c r="K41"/>
  <c r="F49" i="42"/>
  <c r="N36"/>
  <c r="K11" i="50"/>
  <c r="L7" i="79"/>
  <c r="M48" i="42"/>
  <c r="K88" i="52"/>
  <c r="L88" i="79"/>
  <c r="L51" i="52"/>
  <c r="N62" i="50"/>
  <c r="L62" i="79"/>
  <c r="O5" i="85"/>
  <c r="L59"/>
  <c r="N74" i="42"/>
  <c r="K48" i="50"/>
  <c r="L20" i="42"/>
  <c r="L4" i="85"/>
  <c r="M6" i="52"/>
  <c r="N104" i="42"/>
  <c r="O42" i="79"/>
  <c r="M37" i="52"/>
  <c r="L55" i="42"/>
  <c r="M23" i="52"/>
  <c r="O22" i="79"/>
  <c r="N89" i="52"/>
  <c r="N100" i="50"/>
  <c r="K82" i="52"/>
  <c r="L14" i="42"/>
  <c r="M55" i="50"/>
  <c r="N83"/>
  <c r="K39" i="52"/>
  <c r="O68" i="42"/>
  <c r="K70" i="52"/>
  <c r="K54" i="42"/>
  <c r="O53" i="79"/>
  <c r="I29" i="42"/>
  <c r="N20"/>
  <c r="N80"/>
  <c r="K79" i="52"/>
  <c r="N91" i="50"/>
  <c r="D57" i="42"/>
  <c r="M77" i="85"/>
  <c r="M89" i="42"/>
  <c r="O94" i="52"/>
  <c r="N106" i="85"/>
  <c r="L36"/>
  <c r="M61" i="79"/>
  <c r="N76" i="85"/>
  <c r="M28" i="52"/>
  <c r="K103" i="85"/>
  <c r="O11" i="42"/>
  <c r="K14"/>
  <c r="O47" i="50"/>
  <c r="K33" i="79"/>
  <c r="N68" i="50"/>
  <c r="I37" i="42"/>
  <c r="O34" i="50"/>
  <c r="O73" i="85"/>
  <c r="O51" i="50"/>
  <c r="L67" i="85"/>
  <c r="O106" i="79"/>
  <c r="N62"/>
  <c r="K57" i="50"/>
  <c r="K64" i="85"/>
  <c r="N48" i="79"/>
  <c r="M21" i="85"/>
  <c r="K40" i="79"/>
  <c r="N4" i="50"/>
  <c r="M37" i="42"/>
  <c r="E53"/>
  <c r="K36" i="52"/>
  <c r="N74"/>
  <c r="O98" i="50"/>
  <c r="N106"/>
  <c r="E31" i="42"/>
  <c r="K94" i="79"/>
  <c r="O88" i="42"/>
  <c r="L64" i="50"/>
  <c r="M14" i="85"/>
  <c r="O107"/>
  <c r="O26" i="50"/>
  <c r="K41" i="52"/>
  <c r="N103" i="85"/>
  <c r="H19" i="42"/>
  <c r="L55" i="50"/>
  <c r="L57"/>
  <c r="O57" i="42"/>
  <c r="I11"/>
  <c r="M97" i="50"/>
  <c r="K83" i="42"/>
  <c r="O97"/>
  <c r="K95" i="79"/>
  <c r="O94" i="42"/>
  <c r="O56"/>
  <c r="D35"/>
  <c r="O106" i="85"/>
  <c r="O50" i="50"/>
  <c r="O19" i="79"/>
  <c r="L11" i="42"/>
  <c r="K68"/>
  <c r="L20" i="50"/>
  <c r="N31" i="52"/>
  <c r="M43" i="85"/>
  <c r="F101" i="42"/>
  <c r="H51"/>
  <c r="O106" i="50"/>
  <c r="M79" i="79"/>
  <c r="K104" i="50"/>
  <c r="L51"/>
  <c r="O45" i="79"/>
  <c r="O7" i="52"/>
  <c r="L95" i="42"/>
  <c r="L85" i="52"/>
  <c r="O76" i="42"/>
  <c r="N92" i="79"/>
  <c r="L32" i="52"/>
  <c r="N14" i="50"/>
  <c r="M103"/>
  <c r="L43" i="79"/>
  <c r="L56"/>
  <c r="N11" i="42"/>
  <c r="O64" i="52"/>
  <c r="O89" i="79"/>
  <c r="N88" i="50"/>
  <c r="M65" i="42"/>
  <c r="O7"/>
  <c r="D47"/>
  <c r="M106" i="79"/>
  <c r="L47" i="50"/>
  <c r="L40" i="52"/>
  <c r="M91" i="85"/>
  <c r="O48" i="42"/>
  <c r="K18" i="85"/>
  <c r="M88" i="42"/>
  <c r="M15"/>
  <c r="L83" i="50"/>
  <c r="N16" i="79"/>
  <c r="L22" i="85"/>
  <c r="K43" i="50"/>
  <c r="K100" i="79"/>
  <c r="K36" i="42"/>
  <c r="L46" i="50"/>
  <c r="G25" i="42"/>
  <c r="K25" i="85"/>
  <c r="O14" i="50"/>
  <c r="O104" i="52"/>
  <c r="M56" i="85"/>
  <c r="H82" i="42"/>
  <c r="L34" i="50"/>
  <c r="M73" i="52"/>
  <c r="K30" i="85"/>
  <c r="K51" i="42"/>
  <c r="L107"/>
  <c r="O48" i="79"/>
  <c r="O100" i="52"/>
  <c r="K101" i="79"/>
  <c r="K50" i="42"/>
  <c r="O24"/>
  <c r="K61" i="52"/>
  <c r="K17" i="85"/>
  <c r="O38" i="50"/>
  <c r="O62" i="79"/>
  <c r="L47" i="85"/>
  <c r="K21" i="42"/>
  <c r="L50" i="50"/>
  <c r="K10"/>
  <c r="K48" i="85"/>
  <c r="H35" i="42"/>
  <c r="F106"/>
  <c r="L79" i="79"/>
  <c r="O4" i="52"/>
  <c r="K92" i="50"/>
  <c r="L30"/>
  <c r="O34" i="79"/>
  <c r="O92" i="52"/>
  <c r="H49" i="42"/>
  <c r="M35" i="52"/>
  <c r="K86" i="42"/>
  <c r="M94" i="50"/>
  <c r="L106" i="79"/>
  <c r="O36" i="42"/>
  <c r="M38"/>
  <c r="N50" i="50"/>
  <c r="M23" i="79"/>
  <c r="E70" i="42"/>
  <c r="K67" i="52"/>
  <c r="O51"/>
  <c r="K46" i="85"/>
  <c r="K82" i="79"/>
  <c r="O107" i="42"/>
  <c r="M45" i="79"/>
  <c r="O19" i="85"/>
  <c r="O94"/>
  <c r="K107" i="52"/>
  <c r="G76" i="42"/>
  <c r="O40" i="50"/>
  <c r="O22"/>
  <c r="K97" i="52"/>
  <c r="M65" i="50"/>
  <c r="K94" i="85"/>
  <c r="M68" i="79"/>
  <c r="K98"/>
  <c r="M16" i="50"/>
  <c r="O61"/>
  <c r="K83" i="79"/>
  <c r="O89" i="42"/>
  <c r="N86" i="79"/>
  <c r="O92" i="85"/>
  <c r="O95"/>
  <c r="K106" i="52"/>
  <c r="E29" i="42"/>
  <c r="L34" i="79"/>
  <c r="M56" i="42"/>
  <c r="O54" i="85"/>
  <c r="O17" i="42"/>
  <c r="L8" i="52"/>
  <c r="D23" i="42"/>
  <c r="O62" i="50"/>
  <c r="L53" i="52"/>
  <c r="O23" i="85"/>
  <c r="M101" i="79"/>
  <c r="M30" i="52"/>
  <c r="K19" i="42"/>
  <c r="L21"/>
  <c r="G5"/>
  <c r="L30" i="52"/>
  <c r="L71" i="50"/>
  <c r="L101" i="85"/>
  <c r="O39"/>
  <c r="L34"/>
  <c r="N89" i="42"/>
  <c r="L40"/>
  <c r="N37" i="50"/>
  <c r="N35" i="79"/>
  <c r="N20" i="85"/>
  <c r="H7" i="42"/>
  <c r="E83"/>
  <c r="L28"/>
  <c r="O85" i="50"/>
  <c r="L42"/>
  <c r="K7" i="52"/>
  <c r="N18"/>
  <c r="I57" i="42"/>
  <c r="L39" i="85"/>
  <c r="O95" i="42"/>
  <c r="L51" i="79"/>
  <c r="K23"/>
  <c r="L6"/>
  <c r="K61"/>
  <c r="M88" i="52"/>
  <c r="K92" i="85"/>
  <c r="M39" i="52"/>
  <c r="E37" i="42"/>
  <c r="H33"/>
  <c r="M27" i="52"/>
  <c r="D89" i="42"/>
  <c r="N13"/>
  <c r="K19" i="50"/>
  <c r="L27" i="42"/>
  <c r="N4" i="85"/>
  <c r="G33" i="42"/>
  <c r="K67" i="85"/>
  <c r="G49" i="42"/>
  <c r="K107" i="50"/>
  <c r="N34" i="52"/>
  <c r="K49" i="50"/>
  <c r="M32" i="79"/>
  <c r="O37"/>
  <c r="K6"/>
  <c r="M74" i="50"/>
  <c r="K33" i="42"/>
  <c r="M22" i="50"/>
  <c r="K56"/>
  <c r="M61" i="42"/>
  <c r="I59"/>
  <c r="N59"/>
  <c r="M68" i="50"/>
  <c r="M47"/>
  <c r="N28" i="79"/>
  <c r="O11" i="85"/>
  <c r="N52" i="42"/>
  <c r="L27" i="79"/>
  <c r="H13" i="42"/>
  <c r="N35" i="52"/>
  <c r="L73"/>
  <c r="N104" i="79"/>
  <c r="M107" i="52"/>
  <c r="N77" i="42"/>
  <c r="I106"/>
  <c r="M51" i="52"/>
  <c r="M68" i="42"/>
  <c r="M98" i="52"/>
  <c r="O61" i="85"/>
  <c r="O58" i="42"/>
  <c r="L97"/>
  <c r="I41"/>
  <c r="N70"/>
  <c r="K89" i="50"/>
  <c r="F45" i="42"/>
  <c r="N30" i="52"/>
  <c r="F15" i="42"/>
  <c r="L85" i="85"/>
  <c r="N36"/>
  <c r="L106" i="52"/>
  <c r="L97" i="50"/>
  <c r="M39"/>
  <c r="L16" i="85"/>
  <c r="D21" i="42"/>
  <c r="N103" i="79"/>
  <c r="N43" i="52"/>
  <c r="L17" i="50"/>
  <c r="O58"/>
  <c r="H17" i="42"/>
  <c r="M17" i="50"/>
  <c r="O88"/>
  <c r="K79" i="79"/>
  <c r="K46" i="42"/>
  <c r="M21" i="79"/>
  <c r="O49" i="50"/>
  <c r="O82" i="42"/>
  <c r="N44" i="52"/>
  <c r="O50"/>
  <c r="L39" i="50"/>
  <c r="M85" i="79"/>
  <c r="N56" i="52"/>
  <c r="K22" i="79"/>
  <c r="G43" i="42"/>
  <c r="N98" i="52"/>
  <c r="M32" i="50"/>
  <c r="L47" i="79"/>
  <c r="I23" i="42"/>
  <c r="L49" i="50"/>
  <c r="I94" i="42"/>
  <c r="K73" i="79"/>
  <c r="M33" i="52"/>
  <c r="H88" i="42"/>
  <c r="N98"/>
  <c r="M13" i="85"/>
  <c r="D33" i="42"/>
  <c r="K64" i="79"/>
  <c r="I15" i="42"/>
  <c r="K65" i="79"/>
  <c r="L68" i="50"/>
  <c r="O23"/>
  <c r="M17" i="52"/>
  <c r="M32" i="85"/>
  <c r="D15" i="42"/>
  <c r="E7"/>
  <c r="N4" i="52"/>
  <c r="O24" i="85"/>
  <c r="M28"/>
  <c r="D43" i="42"/>
  <c r="N88"/>
  <c r="H53"/>
  <c r="L74" i="50"/>
  <c r="O100" i="79"/>
  <c r="M47" i="52"/>
  <c r="N14" i="79"/>
  <c r="N38"/>
  <c r="N10" i="85"/>
  <c r="M70" i="42"/>
  <c r="O12"/>
  <c r="L61" i="52"/>
  <c r="L30" i="42"/>
  <c r="K85" i="79"/>
  <c r="L59" i="42"/>
  <c r="M77" i="50"/>
  <c r="L77" i="79"/>
  <c r="L14" i="52"/>
  <c r="M68" i="85"/>
  <c r="N19"/>
  <c r="N76" i="42"/>
  <c r="N23" i="52"/>
  <c r="N101" i="79"/>
  <c r="K41" i="50"/>
  <c r="L82" i="79"/>
  <c r="O5" i="52"/>
  <c r="K64"/>
  <c r="N51" i="85"/>
  <c r="L76" i="79"/>
  <c r="K22" i="85"/>
  <c r="L53"/>
  <c r="M14" i="52"/>
  <c r="L83"/>
  <c r="N35" i="42"/>
  <c r="N101" i="52"/>
  <c r="N15"/>
  <c r="K107" i="79"/>
  <c r="L12" i="50"/>
  <c r="K57" i="85"/>
  <c r="O39" i="52"/>
  <c r="L101" i="42"/>
  <c r="L103" i="52"/>
  <c r="M100" i="42"/>
  <c r="K43" i="52"/>
  <c r="K106" i="79"/>
  <c r="O23" i="42"/>
  <c r="K49" i="85"/>
  <c r="O56" i="79"/>
  <c r="K59" i="42"/>
  <c r="D5"/>
  <c r="K31"/>
  <c r="N27"/>
  <c r="K7" i="50"/>
  <c r="K68" i="85"/>
  <c r="M24" i="50"/>
  <c r="K19" i="52"/>
  <c r="O5" i="79"/>
  <c r="L103" i="50"/>
  <c r="N95" i="79"/>
  <c r="M47" i="42"/>
  <c r="N107" i="50"/>
  <c r="M38" i="79"/>
  <c r="O92"/>
  <c r="O32"/>
  <c r="O80"/>
  <c r="E33" i="42"/>
  <c r="O50"/>
  <c r="K103" i="79"/>
  <c r="L76" i="50"/>
  <c r="O47" i="85"/>
  <c r="L23" i="42"/>
  <c r="K61" i="85"/>
  <c r="F21" i="42"/>
  <c r="M25" i="50"/>
  <c r="N101"/>
  <c r="I71" i="42"/>
  <c r="O103" i="52"/>
  <c r="O9" i="79"/>
  <c r="I55" i="42"/>
  <c r="O9"/>
  <c r="M103" i="52"/>
  <c r="G47" i="42"/>
  <c r="L41" i="50"/>
  <c r="L80" i="52"/>
  <c r="M26"/>
  <c r="L74"/>
  <c r="M31" i="79"/>
  <c r="K46"/>
  <c r="M34"/>
  <c r="O70"/>
  <c r="M51" i="42"/>
  <c r="M8"/>
  <c r="K56" i="79"/>
  <c r="K42" i="85"/>
  <c r="O101" i="42"/>
  <c r="G39"/>
  <c r="F71"/>
  <c r="O82" i="79"/>
  <c r="L58" i="42"/>
  <c r="K98" i="50"/>
  <c r="N51"/>
  <c r="N7"/>
  <c r="L100" i="42"/>
  <c r="N56"/>
  <c r="O62"/>
  <c r="M47" i="79"/>
  <c r="M6" i="42"/>
  <c r="L32" i="85"/>
  <c r="M59" i="79"/>
  <c r="O55"/>
  <c r="O106" i="42"/>
  <c r="L104" i="85"/>
  <c r="M57" i="52"/>
  <c r="M37" i="85"/>
  <c r="L70" i="50"/>
  <c r="K25" i="52"/>
  <c r="O26" i="42"/>
  <c r="D70"/>
  <c r="L6"/>
  <c r="N25" i="79"/>
  <c r="H31" i="42"/>
  <c r="M97"/>
  <c r="K23" i="85"/>
  <c r="M83" i="42"/>
  <c r="K9" i="85"/>
  <c r="O88" i="79"/>
  <c r="K37" i="50"/>
  <c r="K103"/>
  <c r="O45"/>
  <c r="M91" i="42"/>
  <c r="G83"/>
  <c r="O107" i="79"/>
  <c r="O10" i="42"/>
  <c r="N80" i="85"/>
  <c r="M20" i="79"/>
  <c r="L91"/>
  <c r="L64" i="85"/>
  <c r="L26" i="50"/>
  <c r="M83" i="79"/>
  <c r="G27" i="42"/>
  <c r="M39"/>
  <c r="M101" i="50"/>
  <c r="M6"/>
  <c r="L104" i="42"/>
  <c r="N52" i="50"/>
  <c r="N26" i="52"/>
  <c r="M9" i="42"/>
  <c r="M92" i="50"/>
  <c r="M77" i="79"/>
  <c r="K82" i="42"/>
  <c r="E25"/>
  <c r="O38" i="79"/>
  <c r="M89" i="85"/>
  <c r="H95" i="42"/>
  <c r="N97" i="79"/>
  <c r="M64" i="50"/>
  <c r="K40"/>
  <c r="K37" i="79"/>
  <c r="M23" i="42"/>
  <c r="L48"/>
  <c r="L50" i="85"/>
  <c r="N77"/>
  <c r="L50" i="52"/>
  <c r="N23" i="50"/>
  <c r="K13" i="85"/>
  <c r="K22" i="42"/>
  <c r="K7"/>
  <c r="D53"/>
  <c r="N46" i="50"/>
  <c r="K50"/>
  <c r="K31" i="79"/>
  <c r="E39" i="42"/>
  <c r="L25" i="52"/>
  <c r="O41" i="50"/>
  <c r="O56"/>
  <c r="L37" i="52"/>
  <c r="O95" i="50"/>
  <c r="K47" i="85"/>
  <c r="L39" i="52"/>
  <c r="M14" i="79"/>
  <c r="N71" i="42"/>
  <c r="K38"/>
  <c r="M27" i="79"/>
  <c r="O79" i="50"/>
  <c r="G82" i="42"/>
  <c r="L58" i="50"/>
  <c r="M34" i="52"/>
  <c r="G89" i="42"/>
  <c r="M42"/>
  <c r="L107" i="52"/>
  <c r="O91" i="85"/>
  <c r="K94" i="50"/>
  <c r="K24" i="52"/>
  <c r="M104" i="50"/>
  <c r="L76" i="85"/>
  <c r="L26" i="79"/>
  <c r="O8" i="52"/>
  <c r="K27" i="50"/>
  <c r="I13" i="42"/>
  <c r="O33" i="85"/>
  <c r="M20"/>
  <c r="M40" i="79"/>
  <c r="L82" i="52"/>
  <c r="K24" i="50"/>
  <c r="L10" i="52"/>
  <c r="H89" i="42"/>
  <c r="O32"/>
  <c r="K12" i="52"/>
  <c r="L10" i="79"/>
  <c r="N64" i="85"/>
  <c r="M64"/>
  <c r="N21" i="50"/>
  <c r="M42" i="79"/>
  <c r="N12" i="52"/>
  <c r="O17"/>
  <c r="L49"/>
  <c r="N28" i="85"/>
  <c r="M19" i="52"/>
  <c r="O48"/>
  <c r="H29" i="42"/>
  <c r="L57" i="52"/>
  <c r="L45" i="79"/>
  <c r="M49" i="50"/>
  <c r="D95" i="42"/>
  <c r="N95"/>
  <c r="O68" i="79"/>
  <c r="I35" i="42"/>
  <c r="O76" i="79"/>
  <c r="E64" i="42"/>
  <c r="O31" i="79"/>
  <c r="N14" i="42"/>
  <c r="K54" i="52"/>
  <c r="N46"/>
  <c r="L100" i="85"/>
  <c r="D19" i="42"/>
  <c r="K32" i="52"/>
  <c r="M53"/>
  <c r="O17" i="79"/>
  <c r="L86" i="42"/>
  <c r="O76" i="50"/>
  <c r="L46" i="85"/>
  <c r="M79" i="50"/>
  <c r="K73"/>
  <c r="K65" i="85"/>
  <c r="M53"/>
  <c r="K26" i="42"/>
  <c r="M27" i="85"/>
  <c r="K9" i="52"/>
  <c r="L67"/>
  <c r="L41"/>
  <c r="N25" i="85"/>
  <c r="M43" i="79"/>
  <c r="O85"/>
  <c r="O35"/>
  <c r="O8"/>
  <c r="O24"/>
  <c r="M56" i="52"/>
  <c r="N45" i="42"/>
  <c r="K85" i="85"/>
  <c r="O46" i="42"/>
  <c r="N55" i="50"/>
  <c r="L8"/>
  <c r="N42" i="85"/>
  <c r="N86"/>
  <c r="M38" i="52"/>
  <c r="K18" i="42"/>
  <c r="M58"/>
  <c r="M26"/>
  <c r="N82"/>
  <c r="K55" i="85"/>
  <c r="L65" i="52"/>
  <c r="L55" i="85"/>
  <c r="L21" i="50"/>
  <c r="N20" i="79"/>
  <c r="L22" i="52"/>
  <c r="N6"/>
  <c r="K44" i="85"/>
  <c r="K10"/>
  <c r="N27" i="52"/>
  <c r="K23" i="50"/>
  <c r="K5" i="85"/>
  <c r="K27" i="42"/>
  <c r="M97" i="85"/>
  <c r="M100" i="52"/>
  <c r="N92" i="50"/>
  <c r="O52" i="42"/>
  <c r="M51" i="85"/>
  <c r="H23" i="42"/>
  <c r="O14" i="52"/>
  <c r="D55" i="42"/>
  <c r="F70"/>
  <c r="M64" i="52"/>
  <c r="M48" i="79"/>
  <c r="M55" i="52"/>
  <c r="N18" i="85"/>
  <c r="N47"/>
  <c r="K68" i="79"/>
  <c r="I25" i="42"/>
  <c r="K64" i="50"/>
  <c r="L54" i="79"/>
  <c r="N13" i="52"/>
  <c r="M95" i="79"/>
  <c r="K18"/>
  <c r="D13" i="42"/>
  <c r="L36" i="50"/>
  <c r="N30" i="42"/>
  <c r="H11"/>
  <c r="L92" i="85"/>
  <c r="M7" i="79"/>
  <c r="M18" i="52"/>
  <c r="N42" i="42"/>
  <c r="F39"/>
  <c r="O100" i="50"/>
  <c r="K98" i="85"/>
  <c r="N19" i="79"/>
  <c r="N26"/>
  <c r="N49" i="42"/>
  <c r="O57" i="52"/>
  <c r="L95" i="85"/>
  <c r="M67" i="50"/>
  <c r="K30" i="79"/>
  <c r="K48" i="52"/>
  <c r="L20" i="79"/>
  <c r="M76"/>
  <c r="K23" i="52"/>
  <c r="L100" i="50"/>
  <c r="M71" i="79"/>
  <c r="K104" i="85"/>
  <c r="I95" i="42"/>
  <c r="K53" i="50"/>
  <c r="K95" i="85"/>
  <c r="M58" i="79"/>
  <c r="N46" i="85"/>
  <c r="M49" i="79"/>
  <c r="N6" i="50"/>
  <c r="K103" i="52"/>
  <c r="L48" i="50"/>
  <c r="O28" i="42"/>
  <c r="K80" i="85"/>
  <c r="M106" i="52"/>
  <c r="N83" i="79"/>
  <c r="K13" i="50"/>
  <c r="O46" i="79"/>
  <c r="K103" i="42"/>
  <c r="M101" i="52"/>
  <c r="F65" i="42"/>
  <c r="L13" i="52"/>
  <c r="K25" i="79"/>
  <c r="M46"/>
  <c r="L39" i="42"/>
  <c r="N62"/>
  <c r="O86"/>
  <c r="O52" i="79"/>
  <c r="M28" i="50"/>
  <c r="N8" i="42"/>
  <c r="L32"/>
  <c r="L35" i="52"/>
  <c r="G59" i="42"/>
  <c r="K12" i="85"/>
  <c r="K104" i="79"/>
  <c r="N58"/>
  <c r="N61" i="52"/>
  <c r="M55" i="42"/>
  <c r="N18" i="79"/>
  <c r="G53" i="42"/>
  <c r="F13"/>
  <c r="M36"/>
  <c r="H47"/>
  <c r="G57"/>
  <c r="M94" i="52"/>
  <c r="K7" i="79"/>
  <c r="M19" i="50"/>
  <c r="N57" i="52"/>
  <c r="L22" i="79"/>
  <c r="K52" i="42"/>
  <c r="L13"/>
  <c r="L14" i="85"/>
  <c r="L107" i="50"/>
  <c r="L25"/>
  <c r="O103"/>
  <c r="M43" i="52"/>
  <c r="N65" i="79"/>
  <c r="O39"/>
  <c r="L5" i="50"/>
  <c r="O51" i="85"/>
  <c r="M50"/>
  <c r="H43" i="42"/>
  <c r="K77"/>
  <c r="N32"/>
  <c r="O104" i="85"/>
  <c r="O30" i="79"/>
  <c r="N28" i="42"/>
  <c r="L97" i="85"/>
  <c r="N12"/>
  <c r="L21"/>
  <c r="N32"/>
  <c r="N33" i="50"/>
  <c r="L25" i="85"/>
  <c r="M74" i="42"/>
  <c r="K20" i="52"/>
  <c r="L11"/>
  <c r="L15" i="50"/>
  <c r="O30" i="52"/>
  <c r="K39" i="50"/>
  <c r="M32" i="52"/>
  <c r="M18" i="50"/>
  <c r="L37" i="85"/>
  <c r="K34" i="52"/>
  <c r="O101"/>
  <c r="N39" i="85"/>
  <c r="N107" i="52"/>
  <c r="N106" i="79"/>
  <c r="K6" i="50"/>
  <c r="L54" i="42"/>
  <c r="M76" i="85"/>
  <c r="N71" i="52"/>
  <c r="L22" i="42"/>
  <c r="K11" i="79"/>
  <c r="L55" i="52"/>
  <c r="N98" i="85"/>
  <c r="I39" i="42"/>
  <c r="O52" i="50"/>
  <c r="O74"/>
  <c r="K36"/>
  <c r="O7" i="79"/>
  <c r="L34" i="42"/>
  <c r="K62" i="52"/>
  <c r="M42" i="50"/>
  <c r="M85" i="42"/>
  <c r="K20"/>
  <c r="E41"/>
  <c r="N74" i="50"/>
  <c r="K14" i="85"/>
  <c r="O53" i="42"/>
  <c r="L34" i="52"/>
  <c r="L24"/>
  <c r="N104" i="85"/>
  <c r="N82" i="79"/>
  <c r="N73" i="85"/>
  <c r="M103" i="79"/>
  <c r="M55"/>
  <c r="E82" i="42"/>
  <c r="M36" i="50"/>
  <c r="O23" i="79"/>
  <c r="K12"/>
  <c r="K30" i="50"/>
  <c r="O67" i="52"/>
  <c r="F88" i="42"/>
  <c r="I83"/>
  <c r="L92" i="79"/>
  <c r="E49" i="42"/>
  <c r="L68"/>
  <c r="L33"/>
  <c r="M52" i="79"/>
  <c r="N22" i="50"/>
  <c r="L79" i="42"/>
  <c r="N58" i="85"/>
  <c r="L73" i="50"/>
  <c r="K97" i="42"/>
  <c r="O65"/>
  <c r="K77" i="52"/>
  <c r="M107" i="50"/>
  <c r="G70" i="42"/>
  <c r="N44" i="50"/>
  <c r="L86" i="52"/>
  <c r="L76"/>
  <c r="K17" i="79"/>
  <c r="L80" i="42"/>
  <c r="M11"/>
  <c r="O97" i="52"/>
  <c r="F27" i="42"/>
  <c r="K7" i="85"/>
  <c r="K11"/>
  <c r="O53"/>
  <c r="F107" i="42"/>
  <c r="O55" i="85"/>
  <c r="L5" i="79"/>
  <c r="K50"/>
  <c r="M92" i="85"/>
  <c r="O100"/>
  <c r="O41"/>
  <c r="N8" i="50"/>
  <c r="N104"/>
  <c r="N13"/>
  <c r="N14" i="52"/>
  <c r="N82" i="50"/>
  <c r="M12" i="42"/>
  <c r="M92" i="52"/>
  <c r="O59" i="42"/>
  <c r="O62" i="85"/>
  <c r="K41" i="42"/>
  <c r="L23" i="50"/>
  <c r="M21" i="42"/>
  <c r="O21" i="52"/>
  <c r="L17"/>
  <c r="O7" i="50"/>
  <c r="L23" i="52"/>
  <c r="M79"/>
  <c r="I31" i="42"/>
  <c r="K106" i="50"/>
  <c r="L62" i="42"/>
  <c r="O4" i="79"/>
  <c r="O92" i="50"/>
  <c r="K36" i="79"/>
  <c r="N103" i="50"/>
  <c r="L98" i="79"/>
  <c r="O91" i="42"/>
  <c r="L15"/>
  <c r="L48" i="79"/>
  <c r="M4"/>
  <c r="O70" i="42"/>
  <c r="O9" i="85"/>
  <c r="M54" i="52"/>
  <c r="M97" i="79"/>
  <c r="K13" i="42"/>
  <c r="O98" i="52"/>
  <c r="K23" i="42"/>
  <c r="M19" i="85"/>
  <c r="K4" i="52"/>
  <c r="M88" i="79"/>
  <c r="M15" i="85"/>
  <c r="M40" i="42"/>
  <c r="M16" i="52"/>
  <c r="L7" i="50"/>
  <c r="K29" i="42"/>
  <c r="O38" i="52"/>
  <c r="K14" i="79"/>
  <c r="O5" i="50"/>
  <c r="M19" i="42"/>
  <c r="N91" i="52"/>
  <c r="L6" i="50"/>
  <c r="K101"/>
  <c r="L45" i="42"/>
  <c r="O29" i="79"/>
  <c r="O80" i="50"/>
  <c r="K20" i="79"/>
  <c r="M62" i="42"/>
  <c r="N37" i="52"/>
  <c r="L82" i="50"/>
  <c r="L56" i="42"/>
  <c r="L16" i="79"/>
  <c r="M11"/>
  <c r="F89" i="42"/>
  <c r="O34" i="85"/>
  <c r="N45" i="52"/>
  <c r="N79" i="50"/>
  <c r="M34" i="85"/>
  <c r="O16" i="79"/>
  <c r="N39" i="50"/>
  <c r="K35" i="85"/>
  <c r="N85" i="79"/>
  <c r="K31" i="85"/>
  <c r="L67" i="50"/>
  <c r="K98" i="42"/>
  <c r="M25" i="85"/>
  <c r="L9" i="52"/>
  <c r="M68"/>
  <c r="K29" i="50"/>
  <c r="K20"/>
  <c r="K26"/>
  <c r="N86" i="52"/>
  <c r="L71" i="79"/>
  <c r="M73" i="85"/>
  <c r="O89" i="50"/>
  <c r="M56"/>
  <c r="F94" i="42"/>
  <c r="L28" i="85"/>
  <c r="K16" i="79"/>
  <c r="N65" i="52"/>
  <c r="O88"/>
  <c r="O20" i="79"/>
  <c r="L21" i="52"/>
  <c r="O32"/>
  <c r="N40" i="42"/>
  <c r="O25" i="52"/>
  <c r="N53" i="42"/>
  <c r="L49" i="85"/>
  <c r="N35" i="50"/>
  <c r="L4" i="79"/>
  <c r="L25"/>
  <c r="K28" i="52"/>
  <c r="G101" i="42"/>
  <c r="N6" i="85"/>
  <c r="L61" i="42"/>
  <c r="L39" i="79"/>
  <c r="O45" i="52"/>
  <c r="K19" i="79"/>
  <c r="K58" i="85"/>
  <c r="M27" i="42"/>
  <c r="O29"/>
  <c r="N7" i="85"/>
  <c r="M106"/>
  <c r="L106" i="42"/>
  <c r="M44" i="85"/>
  <c r="N56" i="79"/>
  <c r="N57"/>
  <c r="E27" i="42"/>
  <c r="O19" i="52"/>
  <c r="L16" i="50"/>
  <c r="O24" i="52"/>
  <c r="N37" i="42"/>
  <c r="O21"/>
  <c r="G19"/>
  <c r="M10" i="50"/>
  <c r="O30" i="42"/>
  <c r="F19"/>
  <c r="L57" i="79"/>
  <c r="I21" i="42"/>
  <c r="L98" i="85"/>
  <c r="F59" i="42"/>
  <c r="O18"/>
  <c r="N77" i="79"/>
  <c r="I45" i="42"/>
  <c r="M100" i="79"/>
  <c r="L4" i="52"/>
  <c r="N55" i="79"/>
  <c r="N53" i="50"/>
  <c r="L97" i="52"/>
  <c r="O31"/>
  <c r="K62" i="42"/>
  <c r="N46" i="79"/>
  <c r="I77" i="42"/>
  <c r="I107"/>
  <c r="O65" i="52"/>
  <c r="L21" i="79"/>
  <c r="N71" i="50"/>
  <c r="K88" i="85"/>
  <c r="M91" i="50"/>
  <c r="L46" i="52"/>
  <c r="M65" i="85"/>
  <c r="O18" i="52"/>
  <c r="M29" i="50"/>
  <c r="M52"/>
  <c r="O48" i="85"/>
  <c r="M10" i="52"/>
  <c r="O10" i="50"/>
  <c r="O11" i="79"/>
  <c r="O19" i="42"/>
  <c r="G29"/>
  <c r="O54"/>
  <c r="O57" i="79"/>
  <c r="O40"/>
  <c r="K10" i="42"/>
  <c r="M37" i="79"/>
  <c r="O8" i="42"/>
  <c r="K24"/>
  <c r="O71" i="50"/>
  <c r="N104" i="52"/>
  <c r="M98" i="50"/>
  <c r="M48"/>
  <c r="M45" i="85"/>
  <c r="M92" i="79"/>
  <c r="O49" i="52"/>
  <c r="E55" i="42"/>
  <c r="O46" i="50"/>
  <c r="L31"/>
  <c r="N50" i="85"/>
  <c r="K47" i="42"/>
  <c r="O13" i="52"/>
  <c r="M10" i="42"/>
  <c r="L62" i="85"/>
  <c r="F100" i="42"/>
  <c r="O76" i="85"/>
  <c r="O101" i="79"/>
  <c r="E15" i="42"/>
  <c r="M74" i="52"/>
  <c r="K91"/>
  <c r="E95" i="42"/>
  <c r="N106" i="52"/>
  <c r="L37" i="42"/>
  <c r="N34"/>
  <c r="K89"/>
  <c r="L58" i="52"/>
  <c r="M31" i="85"/>
  <c r="N43" i="79"/>
  <c r="N79"/>
  <c r="K47" i="50"/>
  <c r="K67" i="79"/>
  <c r="K12" i="50"/>
  <c r="K42"/>
  <c r="M42" i="85"/>
  <c r="N15" i="79"/>
  <c r="O26" i="85"/>
  <c r="L35" i="50"/>
  <c r="M16" i="85"/>
  <c r="H59" i="42"/>
  <c r="M23" i="50"/>
  <c r="N45" i="85"/>
  <c r="O86"/>
  <c r="K50" i="52"/>
  <c r="N70"/>
  <c r="O80" i="42"/>
  <c r="O22" i="85"/>
  <c r="D106" i="42"/>
  <c r="N42" i="79"/>
  <c r="N73"/>
  <c r="N27" i="85"/>
  <c r="K49" i="42"/>
  <c r="O25" i="50"/>
  <c r="K73" i="85"/>
  <c r="D100" i="42"/>
  <c r="M34"/>
  <c r="M4" i="50"/>
  <c r="M50"/>
  <c r="K79" i="85"/>
  <c r="K28" i="42"/>
  <c r="K32" i="50"/>
  <c r="D107" i="42"/>
  <c r="M86" i="79"/>
  <c r="N11"/>
  <c r="L15" i="52"/>
  <c r="O44" i="42"/>
  <c r="L37" i="50"/>
  <c r="L64" i="52"/>
  <c r="K47"/>
  <c r="H70" i="42"/>
  <c r="N65"/>
  <c r="O107" i="50"/>
  <c r="N47" i="42"/>
  <c r="N86" i="50"/>
  <c r="H64" i="42"/>
  <c r="O77" i="50"/>
  <c r="O31" i="85"/>
  <c r="N24" i="52"/>
  <c r="L94" i="85"/>
  <c r="L38"/>
  <c r="G77" i="42"/>
  <c r="O4"/>
  <c r="K65" i="50"/>
  <c r="L38"/>
  <c r="O58" i="79"/>
  <c r="L73" i="85"/>
  <c r="M71" i="50"/>
  <c r="M82" i="79"/>
  <c r="M86" i="52"/>
  <c r="M67" i="79"/>
  <c r="M71" i="42"/>
  <c r="E94"/>
  <c r="L18" i="85"/>
  <c r="M57" i="79"/>
  <c r="K26" i="52"/>
  <c r="D41" i="42"/>
  <c r="M77" i="52"/>
  <c r="M64" i="79"/>
  <c r="N77" i="50"/>
  <c r="K56" i="52"/>
  <c r="M70"/>
  <c r="O64" i="85"/>
  <c r="O97" i="79"/>
  <c r="K91" i="50"/>
  <c r="K4" i="79"/>
  <c r="L33" i="52"/>
  <c r="L61" i="85"/>
  <c r="O38" i="42"/>
  <c r="K16" i="85"/>
  <c r="O44" i="79"/>
  <c r="N97" i="52"/>
  <c r="M34" i="50"/>
  <c r="L36" i="52"/>
  <c r="K53"/>
  <c r="K79" i="42"/>
  <c r="K52" i="85"/>
  <c r="O73" i="52"/>
  <c r="K43" i="85"/>
  <c r="K8"/>
  <c r="O98"/>
  <c r="K67" i="42"/>
  <c r="N43" i="50"/>
  <c r="O37" i="42"/>
  <c r="M8" i="50"/>
  <c r="O58" i="52"/>
  <c r="O28"/>
  <c r="N25" i="42"/>
  <c r="K80"/>
  <c r="K68" i="52"/>
  <c r="O8" i="50"/>
  <c r="N25"/>
  <c r="I70" i="42"/>
  <c r="O6" i="85"/>
  <c r="N88" i="52"/>
  <c r="M15" i="50"/>
  <c r="L103" i="42"/>
  <c r="M7" i="50"/>
  <c r="L51" i="85"/>
  <c r="N30" i="50"/>
  <c r="M15" i="79"/>
  <c r="D37" i="42"/>
  <c r="K55" i="79"/>
  <c r="M49" i="52"/>
  <c r="D94" i="42"/>
  <c r="N107"/>
  <c r="N10" i="79"/>
  <c r="M41"/>
  <c r="K70" i="50"/>
  <c r="G71" i="42"/>
  <c r="K45" i="50"/>
  <c r="M51"/>
  <c r="L51" i="42"/>
  <c r="L44" i="85"/>
  <c r="M28" i="79"/>
  <c r="O71" i="42"/>
  <c r="O76" i="52"/>
  <c r="K44" i="42"/>
  <c r="L49" i="79"/>
  <c r="L5" i="42"/>
  <c r="N6"/>
  <c r="N83" i="52"/>
  <c r="L52"/>
  <c r="I53" i="42"/>
  <c r="K13" i="52"/>
  <c r="N58"/>
  <c r="O104" i="50"/>
  <c r="O21"/>
  <c r="I19" i="42"/>
  <c r="N17"/>
  <c r="M71" i="52"/>
  <c r="O43" i="79"/>
  <c r="L10" i="42"/>
  <c r="O46" i="52"/>
  <c r="M106" i="50"/>
  <c r="F33" i="42"/>
  <c r="M56" i="79"/>
  <c r="L32"/>
  <c r="F5" i="42"/>
  <c r="K77" i="50"/>
  <c r="N17" i="79"/>
  <c r="N41" i="52"/>
  <c r="M24"/>
  <c r="L73" i="79"/>
  <c r="O46" i="85"/>
  <c r="K35" i="79"/>
  <c r="L44"/>
  <c r="L18" i="42"/>
  <c r="F29"/>
  <c r="N8" i="85"/>
  <c r="N67" i="79"/>
  <c r="M52" i="42"/>
  <c r="N54" i="85"/>
  <c r="M5" i="42"/>
  <c r="H107"/>
  <c r="N64" i="79"/>
  <c r="K53" i="85"/>
  <c r="O71"/>
  <c r="N67" i="52"/>
  <c r="G35" i="42"/>
  <c r="F51"/>
  <c r="M20" i="52"/>
  <c r="K88" i="50"/>
  <c r="O70" i="52"/>
  <c r="M73" i="79"/>
  <c r="L86" i="85"/>
  <c r="G13" i="42"/>
  <c r="M91" i="52"/>
  <c r="O41" i="42"/>
  <c r="O59" i="50"/>
  <c r="O106" i="52"/>
  <c r="L106" i="85"/>
  <c r="K97" i="79"/>
  <c r="N50" i="52"/>
  <c r="N89" i="85"/>
  <c r="M45" i="50"/>
  <c r="K100" i="85"/>
  <c r="E23" i="42"/>
  <c r="M94" i="85"/>
  <c r="N13"/>
  <c r="O65" i="79"/>
  <c r="N24"/>
  <c r="L23"/>
  <c r="M40" i="50"/>
  <c r="K50" i="85"/>
  <c r="L59" i="52"/>
  <c r="M41" i="50"/>
  <c r="L107" i="79"/>
  <c r="N39"/>
  <c r="M74" i="85"/>
  <c r="N62"/>
  <c r="O47" i="52"/>
  <c r="N15" i="85"/>
  <c r="K88" i="42"/>
  <c r="M7" i="52"/>
  <c r="N32"/>
  <c r="N28"/>
  <c r="O12" i="50"/>
  <c r="L29" i="85"/>
  <c r="N54" i="52"/>
  <c r="K16" i="42"/>
  <c r="L101" i="50"/>
  <c r="O25" i="85"/>
  <c r="M9" i="79"/>
  <c r="M53"/>
  <c r="N88"/>
  <c r="M29"/>
  <c r="O103" i="85"/>
  <c r="M51" i="79"/>
  <c r="L54" i="85"/>
  <c r="L52" i="42"/>
  <c r="M41"/>
  <c r="G9"/>
  <c r="L45" i="85"/>
  <c r="N92"/>
  <c r="D49" i="42"/>
  <c r="I51"/>
  <c r="N24" i="50"/>
  <c r="L13" i="79"/>
  <c r="M61" i="50"/>
  <c r="O35" i="42"/>
  <c r="M40" i="85"/>
  <c r="L101" i="79"/>
  <c r="K86"/>
  <c r="O10" i="52"/>
  <c r="M7" i="85"/>
  <c r="F55" i="42"/>
  <c r="O15" i="50"/>
  <c r="I47" i="42"/>
  <c r="K104"/>
  <c r="L41" i="85"/>
  <c r="F23" i="42"/>
  <c r="L11" i="85"/>
  <c r="F83" i="42"/>
  <c r="L65" i="50"/>
  <c r="O44" i="85"/>
  <c r="L107"/>
  <c r="O27" i="79"/>
  <c r="L16" i="42"/>
  <c r="L28" i="79"/>
  <c r="L98" i="42"/>
  <c r="M97" i="52"/>
  <c r="K82" i="50"/>
  <c r="O41" i="79"/>
  <c r="L26" i="85"/>
  <c r="O44" i="52"/>
  <c r="N48" i="42"/>
  <c r="O20"/>
  <c r="K85" i="52"/>
  <c r="M11" i="85"/>
  <c r="M104" i="42"/>
  <c r="E101"/>
  <c r="K56"/>
  <c r="M35" i="79"/>
  <c r="N22" i="42"/>
  <c r="O94" i="50"/>
  <c r="E88" i="42"/>
  <c r="M44" i="50"/>
  <c r="M49" i="85"/>
  <c r="K83"/>
  <c r="N16" i="52"/>
  <c r="L89" i="85"/>
  <c r="O28" i="50"/>
  <c r="N42" i="52"/>
  <c r="L4" i="50"/>
  <c r="N91" i="42"/>
  <c r="N45" i="79"/>
  <c r="L57" i="85"/>
  <c r="M18" i="42"/>
  <c r="K94"/>
  <c r="M82" i="50"/>
  <c r="K47" i="79"/>
  <c r="O43" i="42"/>
  <c r="N80" i="50"/>
  <c r="N39" i="42"/>
  <c r="K36" i="85"/>
  <c r="L15" i="79"/>
  <c r="G15" i="42"/>
  <c r="L58" i="85"/>
  <c r="K91" i="42"/>
  <c r="L70"/>
  <c r="H5"/>
  <c r="K80" i="52"/>
  <c r="N22"/>
  <c r="L7" i="42"/>
  <c r="N9"/>
  <c r="N44" i="79"/>
  <c r="F57" i="42"/>
  <c r="N43" i="85"/>
  <c r="O67" i="42"/>
  <c r="O22"/>
  <c r="K5" i="50"/>
  <c r="N21" i="79"/>
  <c r="N100" i="52"/>
  <c r="K76" i="85"/>
  <c r="M6" i="79"/>
  <c r="M70" i="85"/>
  <c r="G107" i="42"/>
  <c r="K32" i="79"/>
  <c r="K45" i="85"/>
  <c r="O9" i="52"/>
  <c r="L19"/>
  <c r="K62" i="79"/>
  <c r="M36" i="52"/>
  <c r="M107" i="42"/>
  <c r="E47"/>
  <c r="O36" i="50"/>
  <c r="N23" i="42"/>
  <c r="O67" i="50"/>
  <c r="N100" i="42"/>
  <c r="L57"/>
  <c r="F82"/>
  <c r="M70" i="50"/>
  <c r="G88" i="42"/>
  <c r="M95"/>
  <c r="M54"/>
  <c r="N5" i="79"/>
  <c r="N19" i="52"/>
  <c r="M13"/>
  <c r="N21"/>
  <c r="M59" i="42"/>
  <c r="O77" i="52"/>
  <c r="G21" i="42"/>
  <c r="N47" i="52"/>
  <c r="O34"/>
  <c r="K29"/>
  <c r="O79" i="85"/>
  <c r="N58" i="50"/>
  <c r="M20" i="42"/>
  <c r="N7" i="79"/>
  <c r="L12" i="85"/>
  <c r="N30" i="79"/>
  <c r="L59"/>
  <c r="M89" i="50"/>
  <c r="L27"/>
  <c r="L104"/>
  <c r="L71" i="42"/>
  <c r="M58" i="85"/>
  <c r="N58" i="42"/>
  <c r="N89" i="79"/>
  <c r="K86" i="52"/>
  <c r="D7" i="42"/>
  <c r="I89"/>
  <c r="N46"/>
  <c r="O91" i="52"/>
  <c r="M11"/>
  <c r="L24" i="50"/>
  <c r="O37" i="52"/>
  <c r="L17" i="42"/>
  <c r="K22" i="50"/>
  <c r="L16" i="52"/>
  <c r="E17" i="42"/>
  <c r="M77"/>
  <c r="K51" i="50"/>
  <c r="O57" i="85"/>
  <c r="O64" i="42"/>
  <c r="E9"/>
  <c r="M46" i="85"/>
  <c r="K91" i="79"/>
  <c r="L48" i="52"/>
  <c r="K34" i="79"/>
  <c r="N10" i="50"/>
  <c r="N41" i="79"/>
  <c r="K79" i="50"/>
  <c r="O12" i="85"/>
  <c r="K59"/>
  <c r="L100" i="52"/>
  <c r="O59"/>
  <c r="K37"/>
  <c r="K27" i="79"/>
  <c r="K57"/>
  <c r="M44" i="42"/>
  <c r="M89" i="52"/>
  <c r="O68" i="85"/>
  <c r="K14" i="52"/>
  <c r="O22"/>
  <c r="O33" i="50"/>
  <c r="K8" i="52"/>
  <c r="K8" i="79"/>
  <c r="K44" i="50"/>
  <c r="E43" i="42"/>
  <c r="N53" i="79"/>
  <c r="M88" i="85"/>
  <c r="L35" i="42"/>
  <c r="L30" i="79"/>
  <c r="N95" i="85"/>
  <c r="K31" i="52"/>
  <c r="H106" i="42"/>
  <c r="N62" i="52"/>
  <c r="O70" i="50"/>
  <c r="N24" i="42"/>
  <c r="N65" i="85"/>
  <c r="L43"/>
  <c r="O16" i="42"/>
  <c r="K55" i="50"/>
  <c r="M33"/>
  <c r="M29" i="42"/>
  <c r="L31" i="79"/>
  <c r="K11" i="42"/>
  <c r="K11" i="52"/>
  <c r="M76" i="42"/>
  <c r="N57" i="50"/>
  <c r="L91" i="52"/>
  <c r="O41"/>
  <c r="M86" i="42"/>
  <c r="O11" i="52"/>
  <c r="K83" i="50"/>
  <c r="L42" i="85"/>
  <c r="O95" i="79"/>
  <c r="I100" i="42"/>
  <c r="N67" i="85"/>
  <c r="M20" i="50"/>
  <c r="K33" i="85"/>
  <c r="L64" i="79"/>
  <c r="K97" i="50"/>
  <c r="L29" i="52"/>
  <c r="O37" i="85"/>
  <c r="D51" i="42"/>
  <c r="K40"/>
  <c r="L61" i="50"/>
  <c r="E77" i="42"/>
  <c r="N100" i="85"/>
  <c r="L15"/>
  <c r="O17"/>
  <c r="K68" i="50"/>
  <c r="K24" i="79"/>
  <c r="K58"/>
  <c r="N44" i="42"/>
  <c r="L74" i="79"/>
  <c r="N8" i="52"/>
  <c r="N59" i="50"/>
  <c r="M26"/>
  <c r="M35" i="85"/>
  <c r="G7" i="42"/>
  <c r="O103" i="79"/>
  <c r="O54"/>
  <c r="O39" i="42"/>
  <c r="H39"/>
  <c r="O86" i="52"/>
  <c r="M54" i="50"/>
  <c r="M91" i="79"/>
  <c r="N95" i="52"/>
  <c r="L70" i="85"/>
  <c r="O85"/>
  <c r="O74" i="79"/>
  <c r="K18" i="50"/>
  <c r="K58"/>
  <c r="N9" i="79"/>
  <c r="N43" i="42"/>
  <c r="O15"/>
  <c r="L40" i="79"/>
  <c r="O15"/>
  <c r="M16" i="42"/>
  <c r="E106"/>
  <c r="L33" i="85"/>
  <c r="O12" i="79"/>
  <c r="G100" i="42"/>
  <c r="O61"/>
  <c r="K31" i="50"/>
  <c r="M12" i="52"/>
  <c r="L71" i="85"/>
  <c r="K107"/>
  <c r="O56"/>
  <c r="L76" i="42"/>
  <c r="M9" i="50"/>
  <c r="O55" i="42"/>
  <c r="K89" i="79"/>
  <c r="M61" i="85"/>
  <c r="M31" i="42"/>
  <c r="M86" i="85"/>
  <c r="O21"/>
  <c r="N5" i="50"/>
  <c r="L28"/>
  <c r="L70" i="52"/>
  <c r="N70" i="79"/>
  <c r="L88" i="52"/>
  <c r="K17" i="42"/>
  <c r="F47"/>
  <c r="K15" i="52"/>
  <c r="F25" i="42"/>
  <c r="K58" i="52"/>
  <c r="O25" i="42"/>
  <c r="N98" i="50"/>
  <c r="L29" i="79"/>
  <c r="O68" i="52"/>
  <c r="N19" i="42"/>
  <c r="M52" i="85"/>
  <c r="O33" i="79"/>
  <c r="N34" i="50"/>
  <c r="F7" i="42"/>
  <c r="D83"/>
  <c r="O59" i="79"/>
  <c r="K29"/>
  <c r="K21" i="85"/>
  <c r="K71"/>
  <c r="O37" i="50"/>
  <c r="N107" i="85"/>
  <c r="N57"/>
  <c r="O14" i="79"/>
  <c r="I17" i="42"/>
  <c r="M25"/>
  <c r="N7" i="52"/>
  <c r="F43" i="42"/>
  <c r="G55"/>
  <c r="K65"/>
  <c r="L6" i="52"/>
  <c r="O13" i="79"/>
  <c r="M88" i="50"/>
  <c r="K22" i="52"/>
  <c r="N29"/>
  <c r="L91" i="42"/>
  <c r="O18" i="85"/>
  <c r="K8" i="50"/>
  <c r="O10" i="85"/>
  <c r="N34" i="79"/>
  <c r="M9" i="52"/>
  <c r="M5"/>
  <c r="O26"/>
  <c r="N39"/>
  <c r="L41" i="42"/>
  <c r="N53" i="85"/>
  <c r="N42" i="50"/>
  <c r="K62" i="85"/>
  <c r="K80" i="50"/>
  <c r="D76" i="42"/>
  <c r="K56" i="85"/>
  <c r="M5" i="50"/>
  <c r="M13" i="42"/>
  <c r="D88"/>
  <c r="L89" i="50"/>
  <c r="M85"/>
  <c r="L85"/>
  <c r="O27"/>
  <c r="K52"/>
  <c r="M18" i="79"/>
  <c r="L98" i="50"/>
  <c r="N31" i="85"/>
  <c r="M94" i="42"/>
  <c r="I65"/>
  <c r="L25"/>
  <c r="O80" i="85"/>
  <c r="D27" i="42"/>
  <c r="N100" i="79"/>
  <c r="H15" i="42"/>
  <c r="M59" i="85"/>
  <c r="N67" i="42"/>
  <c r="N79" i="85"/>
  <c r="K57" i="42"/>
  <c r="L13" i="85"/>
  <c r="M5"/>
  <c r="O101"/>
  <c r="M16" i="79"/>
  <c r="K17" i="52"/>
  <c r="L65" i="85"/>
  <c r="N54" i="42"/>
  <c r="M86" i="50"/>
  <c r="N64" i="52"/>
  <c r="L62" i="50"/>
  <c r="O61" i="79"/>
  <c r="O40" i="42"/>
  <c r="O30" i="50"/>
  <c r="K9" i="79"/>
  <c r="L18" i="50"/>
  <c r="M101" i="85"/>
  <c r="E59" i="42"/>
  <c r="D71"/>
  <c r="N27" i="79"/>
  <c r="N36" i="50"/>
  <c r="K65" i="52"/>
  <c r="L83" i="42"/>
  <c r="N17" i="50"/>
  <c r="O49" i="42"/>
  <c r="K52" i="52"/>
  <c r="K48" i="42"/>
  <c r="L80" i="79"/>
  <c r="H83" i="42"/>
  <c r="L29" i="50"/>
  <c r="L56"/>
  <c r="L73" i="42"/>
  <c r="I88"/>
  <c r="L44" i="50"/>
  <c r="O7" i="85"/>
  <c r="I49" i="42"/>
  <c r="M13" i="79"/>
  <c r="K45"/>
  <c r="D9" i="42"/>
  <c r="L85" i="79"/>
  <c r="N7" i="42"/>
  <c r="N10" i="52"/>
  <c r="D31" i="42"/>
  <c r="N50" i="79"/>
  <c r="L31" i="52"/>
  <c r="H25" i="42"/>
  <c r="F11"/>
  <c r="L52" i="79"/>
  <c r="N4" i="42"/>
  <c r="O50" i="85"/>
  <c r="O14"/>
  <c r="N36" i="79"/>
  <c r="L52" i="50"/>
  <c r="K32" i="42"/>
  <c r="K41" i="85"/>
  <c r="O67" i="79"/>
  <c r="M33" i="85"/>
  <c r="L56"/>
  <c r="O14" i="42"/>
  <c r="O71" i="52"/>
  <c r="K27"/>
  <c r="L22" i="50"/>
  <c r="O85" i="52"/>
  <c r="L43" i="50"/>
  <c r="K92" i="52"/>
  <c r="D101" i="42"/>
  <c r="L92" i="50"/>
  <c r="I64" i="42"/>
  <c r="K71"/>
  <c r="N71" i="79"/>
  <c r="N92" i="52"/>
  <c r="K54" i="79"/>
  <c r="N11" i="52"/>
  <c r="L53" i="50"/>
  <c r="L44" i="42"/>
  <c r="N73" i="50"/>
  <c r="M31" i="52"/>
  <c r="L59" i="50"/>
  <c r="L31" i="42"/>
  <c r="L55" i="79"/>
  <c r="L67" i="42"/>
  <c r="O80" i="52"/>
  <c r="K86" i="50"/>
  <c r="L10"/>
  <c r="N94" i="52"/>
  <c r="K91" i="85"/>
  <c r="K49" i="79"/>
  <c r="M36" i="85"/>
  <c r="M5" i="79"/>
  <c r="K73" i="52"/>
  <c r="L50" i="42"/>
  <c r="M107" i="79"/>
  <c r="N47"/>
  <c r="M18" i="85"/>
  <c r="O55" i="52"/>
  <c r="O29"/>
  <c r="O62"/>
  <c r="N85" i="85"/>
  <c r="L26" i="52"/>
  <c r="M22" i="85"/>
  <c r="N94" i="79"/>
  <c r="O83" i="52"/>
  <c r="K97" i="85"/>
  <c r="L12" i="52"/>
  <c r="M7" i="42"/>
  <c r="N40" i="85"/>
  <c r="K27"/>
  <c r="I33" i="42"/>
  <c r="M65" i="79"/>
  <c r="M98"/>
  <c r="O51"/>
  <c r="N26" i="42"/>
  <c r="L82" i="85"/>
  <c r="N20" i="50"/>
  <c r="N83" i="85"/>
  <c r="D45" i="42"/>
  <c r="L104" i="52"/>
  <c r="N54" i="50"/>
  <c r="E19" i="42"/>
  <c r="O31"/>
  <c r="M8" i="85"/>
  <c r="N89" i="50"/>
  <c r="N10" i="42"/>
  <c r="O86" i="79"/>
  <c r="K45" i="42"/>
  <c r="O100"/>
  <c r="N86"/>
  <c r="M83" i="85"/>
  <c r="M37" i="50"/>
  <c r="K43" i="79"/>
  <c r="K37" i="85"/>
  <c r="O91" i="50"/>
  <c r="N12" i="79"/>
  <c r="M57" i="50"/>
  <c r="L10" i="85"/>
  <c r="M59" i="50"/>
  <c r="N20" i="52"/>
  <c r="D59" i="42"/>
  <c r="M36" i="79"/>
  <c r="K28" i="50"/>
  <c r="L83" i="85"/>
  <c r="N29" i="50"/>
  <c r="N73" i="52"/>
  <c r="O36" i="79"/>
  <c r="K18" i="52"/>
  <c r="K38" i="85"/>
  <c r="M103" i="42"/>
  <c r="M62" i="79"/>
  <c r="N33" i="52"/>
  <c r="I27" i="42"/>
  <c r="L58" i="79"/>
  <c r="O26"/>
  <c r="O35" i="52"/>
  <c r="G95" i="42"/>
  <c r="L103" i="85"/>
  <c r="N65" i="50"/>
  <c r="K44" i="52"/>
  <c r="M73" i="42"/>
  <c r="K16" i="52"/>
  <c r="O47" i="42"/>
  <c r="L53"/>
  <c r="K80" i="79"/>
  <c r="O82" i="52"/>
  <c r="N48" i="85"/>
  <c r="K67" i="50"/>
  <c r="M24" i="79"/>
  <c r="K82" i="85"/>
  <c r="O92" i="42"/>
  <c r="O67" i="85"/>
  <c r="H101" i="42"/>
  <c r="K52" i="79"/>
  <c r="N97" i="50"/>
  <c r="L26" i="42"/>
  <c r="L42" i="52"/>
  <c r="N61" i="42"/>
  <c r="L38" i="79"/>
  <c r="M95" i="85"/>
  <c r="N8" i="79"/>
  <c r="N38" i="50"/>
  <c r="N16"/>
  <c r="K34" i="85"/>
  <c r="N48" i="50"/>
  <c r="L79" i="85"/>
  <c r="O54" i="52"/>
  <c r="M43" i="42"/>
  <c r="L80" i="85"/>
  <c r="L24" i="79"/>
  <c r="O34" i="42"/>
  <c r="O74" i="85"/>
  <c r="O97"/>
  <c r="E35" i="42"/>
  <c r="M30" i="85"/>
  <c r="N33" i="42"/>
  <c r="L50" i="79"/>
  <c r="K49" i="52"/>
  <c r="M22" i="79"/>
  <c r="O38" i="85"/>
  <c r="O6" i="50"/>
  <c r="O94" i="79"/>
  <c r="N76" i="52"/>
  <c r="M30" i="42"/>
  <c r="N59" i="79"/>
  <c r="N33"/>
  <c r="O23" i="52"/>
  <c r="K57"/>
  <c r="L95" i="79"/>
  <c r="M38" i="50"/>
  <c r="N40"/>
  <c r="O43"/>
  <c r="M41" i="52"/>
  <c r="N29" i="85"/>
  <c r="K5" i="79"/>
  <c r="O83"/>
  <c r="K55" i="42"/>
  <c r="M76" i="50"/>
  <c r="M80"/>
  <c r="M89" i="79"/>
  <c r="K4" i="85"/>
  <c r="O97" i="50"/>
  <c r="O70" i="85"/>
  <c r="N61" i="50"/>
  <c r="M4" i="52"/>
  <c r="K28" i="85"/>
  <c r="L4" i="42"/>
  <c r="O33"/>
  <c r="K54" i="85"/>
  <c r="K73" i="42"/>
  <c r="O65" i="85"/>
  <c r="L91"/>
  <c r="M46" i="52"/>
  <c r="N53"/>
  <c r="N103" i="42"/>
  <c r="M48" i="85"/>
  <c r="K92" i="42"/>
  <c r="O17" i="50"/>
  <c r="H77" i="42"/>
  <c r="L49"/>
  <c r="K37"/>
  <c r="O9" i="50"/>
  <c r="O107" i="52"/>
  <c r="N64" i="50"/>
  <c r="L95"/>
  <c r="M49" i="42"/>
  <c r="G41"/>
  <c r="E71"/>
  <c r="D65"/>
  <c r="F9"/>
  <c r="M12" i="79"/>
  <c r="K25" i="50"/>
  <c r="O28" i="79"/>
  <c r="M101" i="42"/>
  <c r="O49" i="79"/>
  <c r="G45" i="42"/>
  <c r="N32" i="79"/>
  <c r="N49"/>
  <c r="M48" i="52"/>
  <c r="O5" i="42"/>
  <c r="K17" i="50"/>
  <c r="O73"/>
  <c r="M29" i="52"/>
  <c r="M39" i="79"/>
  <c r="L17" i="85"/>
  <c r="L7" i="52"/>
  <c r="O43" i="85"/>
  <c r="K100" i="42"/>
  <c r="H37"/>
  <c r="M95" i="50"/>
  <c r="L94" i="42"/>
  <c r="L97" i="79"/>
  <c r="O13" i="50"/>
  <c r="L9" i="79"/>
  <c r="K15" i="42"/>
  <c r="D25"/>
  <c r="M38" i="85"/>
  <c r="K6"/>
  <c r="O98" i="79"/>
  <c r="K42"/>
  <c r="K74" i="50"/>
  <c r="K76"/>
  <c r="G23" i="42"/>
  <c r="I7"/>
  <c r="M44" i="52"/>
  <c r="K15" i="85"/>
  <c r="O83" i="50"/>
  <c r="H57" i="42"/>
  <c r="O56" i="52"/>
  <c r="M45"/>
  <c r="O44" i="50"/>
  <c r="K6" i="52"/>
  <c r="L27" i="85"/>
  <c r="K101"/>
  <c r="M61" i="52"/>
  <c r="M100" i="50"/>
  <c r="O68"/>
  <c r="M10" i="79"/>
  <c r="N9" i="52"/>
  <c r="L40" i="85"/>
  <c r="N23"/>
  <c r="O4"/>
  <c r="M46" i="50"/>
  <c r="O27" i="85"/>
  <c r="L54" i="52"/>
  <c r="O16"/>
  <c r="O79"/>
  <c r="N51"/>
  <c r="O71" i="79"/>
  <c r="M39" i="85"/>
  <c r="N31" i="42"/>
  <c r="F41"/>
  <c r="K29" i="85"/>
  <c r="O33" i="52"/>
  <c r="F76" i="42"/>
  <c r="N91" i="79"/>
  <c r="L43" i="42"/>
  <c r="K39" i="79"/>
  <c r="N94" i="42"/>
  <c r="O10" i="79"/>
  <c r="L8"/>
  <c r="L44" i="52"/>
  <c r="K25" i="42"/>
  <c r="O82" i="50"/>
  <c r="N27"/>
  <c r="K71" i="52"/>
  <c r="O31" i="50"/>
  <c r="M94" i="79"/>
  <c r="F53" i="42"/>
  <c r="O54" i="50"/>
  <c r="K74" i="42"/>
  <c r="G11"/>
  <c r="O53" i="50"/>
  <c r="K5" i="52"/>
  <c r="K89" i="85"/>
  <c r="M107"/>
  <c r="N73" i="42"/>
  <c r="K58"/>
  <c r="M59" i="52"/>
  <c r="H9" i="42"/>
  <c r="M31" i="50"/>
  <c r="L52" i="85"/>
  <c r="E76" i="42"/>
  <c r="I82"/>
  <c r="M85" i="85"/>
  <c r="K26" i="79"/>
  <c r="G51" i="42"/>
  <c r="N26" i="85"/>
  <c r="L46" i="79"/>
  <c r="K4" i="50"/>
  <c r="M58" i="52"/>
  <c r="M55" i="85"/>
  <c r="G94" i="42"/>
  <c r="K35" i="52"/>
  <c r="N21" i="85"/>
  <c r="M50" i="79"/>
  <c r="K61" i="42"/>
  <c r="O16" i="50"/>
  <c r="O19"/>
  <c r="O79" i="79"/>
  <c r="O57" i="50"/>
  <c r="O48"/>
  <c r="N34" i="85"/>
  <c r="L48"/>
  <c r="F77" i="42"/>
  <c r="K35" i="50"/>
  <c r="O18" i="79"/>
  <c r="N70" i="50"/>
  <c r="K15"/>
  <c r="M106" i="42"/>
  <c r="L38"/>
  <c r="N16" i="85"/>
  <c r="N92" i="42"/>
  <c r="K74" i="85"/>
  <c r="M47"/>
  <c r="N70"/>
  <c r="K10" i="79"/>
  <c r="M50" i="42"/>
  <c r="K40" i="85"/>
  <c r="M58" i="50"/>
  <c r="L106"/>
  <c r="N74" i="85"/>
  <c r="L54" i="50"/>
  <c r="M73"/>
  <c r="O13" i="85"/>
  <c r="N79" i="42"/>
  <c r="N33" i="85"/>
  <c r="M80" i="52"/>
  <c r="H55" i="42"/>
  <c r="L77" i="50"/>
  <c r="L11"/>
  <c r="L101" i="52"/>
  <c r="M23" i="85"/>
  <c r="N74" i="79"/>
  <c r="M14" i="42"/>
  <c r="E21"/>
  <c r="O47" i="79"/>
  <c r="O25"/>
  <c r="M74"/>
  <c r="M27" i="50"/>
  <c r="L62" i="52"/>
  <c r="N64" i="42"/>
  <c r="N77" i="52"/>
  <c r="O52"/>
  <c r="O61"/>
  <c r="M76"/>
  <c r="L24" i="42"/>
  <c r="K85"/>
  <c r="M57" i="85"/>
  <c r="H71" i="42"/>
  <c r="O73"/>
  <c r="N5" i="85"/>
  <c r="M32" i="42"/>
  <c r="L6" i="85"/>
  <c r="M35" i="50"/>
  <c r="L5" i="85"/>
  <c r="D11" i="42"/>
  <c r="N56" i="50"/>
  <c r="L9" i="85"/>
  <c r="M100"/>
  <c r="O20"/>
  <c r="N5" i="42"/>
  <c r="L41" i="79"/>
  <c r="L33"/>
  <c r="N24" i="85"/>
  <c r="L70" i="79"/>
  <c r="M67" i="52"/>
  <c r="O55" i="50"/>
  <c r="N82" i="52"/>
  <c r="O12"/>
  <c r="L12" i="79"/>
  <c r="O89" i="52"/>
  <c r="K46" i="50"/>
  <c r="L46" i="42"/>
  <c r="K76" i="52"/>
  <c r="L33" i="50"/>
  <c r="K9"/>
  <c r="O42" i="85"/>
  <c r="N97" i="42"/>
  <c r="L103" i="79"/>
  <c r="N41" i="85"/>
  <c r="M53" i="50"/>
  <c r="L79" i="52"/>
  <c r="N35" i="85"/>
  <c r="O11" i="50"/>
  <c r="L95" i="52"/>
  <c r="M54" i="79"/>
  <c r="K38" i="50"/>
  <c r="O13" i="42"/>
  <c r="O79"/>
  <c r="L7" i="85"/>
  <c r="L65" i="42"/>
  <c r="K10" i="52"/>
  <c r="L14" i="50"/>
  <c r="M42" i="52"/>
  <c r="K95" i="42"/>
  <c r="L86" i="79"/>
  <c r="K35" i="42"/>
  <c r="N15" i="50"/>
  <c r="L19" i="79"/>
  <c r="N103" i="52"/>
  <c r="H21" i="42"/>
  <c r="N48" i="52"/>
  <c r="H65" i="42"/>
  <c r="K71" i="50"/>
  <c r="L91"/>
  <c r="E57" i="42"/>
  <c r="K59" i="79"/>
  <c r="M85" i="52"/>
  <c r="N51" i="42"/>
  <c r="O50" i="79"/>
  <c r="N49" i="52"/>
  <c r="K53" i="79"/>
  <c r="K64" i="42"/>
  <c r="N18" i="50"/>
  <c r="N94"/>
  <c r="E13" i="42"/>
  <c r="M35"/>
  <c r="L38" i="52"/>
  <c r="M22" i="42"/>
  <c r="M104" i="85"/>
  <c r="E65" i="42"/>
  <c r="M9" i="85"/>
  <c r="I9" i="42"/>
  <c r="O35" i="50"/>
  <c r="L89" i="42"/>
  <c r="N4" i="79"/>
  <c r="K74"/>
  <c r="N22" i="85"/>
  <c r="L23"/>
  <c r="K14" i="50"/>
  <c r="N101" i="42"/>
  <c r="K106"/>
  <c r="O27"/>
  <c r="N6" i="79"/>
  <c r="K62" i="50"/>
  <c r="M46" i="42"/>
  <c r="N38" i="52"/>
  <c r="F37" i="42"/>
  <c r="K45" i="52"/>
  <c r="N32" i="50"/>
  <c r="L36" i="79"/>
  <c r="L94" i="50"/>
  <c r="H45" i="42"/>
  <c r="N85" i="52"/>
  <c r="M21"/>
  <c r="O42" i="42"/>
  <c r="I43"/>
  <c r="L9" i="50"/>
  <c r="M57" i="42"/>
  <c r="N79" i="52"/>
  <c r="N68" i="79"/>
  <c r="O64" i="50"/>
  <c r="E45" i="42"/>
  <c r="K16" i="50"/>
  <c r="L12" i="42"/>
  <c r="L89" i="79"/>
  <c r="N55" i="85"/>
  <c r="L83" i="79"/>
  <c r="O36" i="52"/>
  <c r="M67" i="42"/>
  <c r="L42"/>
  <c r="N12" i="50"/>
  <c r="K9" i="42"/>
  <c r="F95"/>
  <c r="O15" i="85"/>
  <c r="O77" i="79"/>
  <c r="N61"/>
  <c r="K34" i="42"/>
  <c r="L5" i="52"/>
  <c r="M54" i="85"/>
  <c r="O32"/>
  <c r="K21" i="50"/>
  <c r="L45"/>
  <c r="M80" i="79"/>
  <c r="M4" i="85"/>
  <c r="N106" i="42"/>
  <c r="N49" i="85"/>
  <c r="N59"/>
  <c r="M17" i="42"/>
  <c r="M17" i="79"/>
  <c r="O29" i="50"/>
  <c r="M25" i="52"/>
  <c r="K55"/>
  <c r="M26" i="79"/>
  <c r="N21" i="42"/>
  <c r="K28" i="79"/>
  <c r="N30" i="85"/>
  <c r="K24"/>
  <c r="M19" i="79"/>
  <c r="I101" i="42"/>
  <c r="L35" i="85"/>
  <c r="O74" i="52"/>
  <c r="L31" i="85"/>
  <c r="L56" i="52"/>
  <c r="K85" i="50"/>
  <c r="K48" i="79"/>
  <c r="F64" i="42"/>
  <c r="M71" i="85"/>
  <c r="O43" i="52"/>
  <c r="M83"/>
  <c r="M33" i="42"/>
  <c r="N85"/>
  <c r="M80" i="85"/>
  <c r="L88" i="50"/>
  <c r="M44" i="79"/>
  <c r="K59" i="50"/>
  <c r="M8" i="79"/>
  <c r="K43" i="42"/>
  <c r="M33" i="79"/>
  <c r="N22"/>
  <c r="M103" i="85"/>
  <c r="M62" i="52"/>
  <c r="L53" i="79"/>
  <c r="E100" i="42"/>
  <c r="K39" i="85"/>
  <c r="O86" i="50"/>
  <c r="M98" i="85"/>
  <c r="O42" i="50"/>
  <c r="O8" i="85"/>
  <c r="O104" i="79"/>
  <c r="E51" i="42"/>
  <c r="L28" i="52"/>
  <c r="N16" i="42"/>
  <c r="O58" i="85"/>
  <c r="M17"/>
  <c r="L74" i="42"/>
  <c r="M25" i="79"/>
  <c r="M8" i="52"/>
  <c r="K89"/>
  <c r="M24" i="42"/>
  <c r="O39" i="50"/>
  <c r="K33" i="52"/>
  <c r="K106" i="85"/>
  <c r="N14"/>
  <c r="O65" i="50"/>
  <c r="L100" i="79"/>
  <c r="L11"/>
  <c r="K70" i="85"/>
  <c r="N59" i="52"/>
  <c r="G17" i="42"/>
  <c r="G64"/>
  <c r="L88"/>
  <c r="D64"/>
  <c r="L8"/>
  <c r="O36" i="85"/>
  <c r="L8"/>
  <c r="M70" i="79"/>
  <c r="D77" i="42"/>
  <c r="L47" i="52"/>
  <c r="N56" i="85"/>
  <c r="L30"/>
  <c r="H41" i="42"/>
  <c r="L104" i="79"/>
  <c r="O91"/>
  <c r="N31"/>
  <c r="O77" i="85"/>
  <c r="O45" i="42"/>
  <c r="O95" i="52"/>
  <c r="K44" i="79"/>
  <c r="N23"/>
  <c r="M82" i="52"/>
  <c r="K30" i="42"/>
  <c r="L79" i="50"/>
  <c r="O35" i="85"/>
  <c r="N52" i="52"/>
  <c r="N85" i="50"/>
  <c r="N40" i="79"/>
  <c r="M10" i="85"/>
  <c r="L68" i="52"/>
  <c r="N28" i="50"/>
  <c r="M67" i="85"/>
  <c r="L65" i="79"/>
  <c r="L20" i="85"/>
  <c r="K59" i="52"/>
  <c r="N44" i="85"/>
  <c r="M24"/>
  <c r="D29" i="42"/>
  <c r="K13" i="79"/>
  <c r="M98" i="42"/>
  <c r="O21" i="79"/>
  <c r="K83" i="52"/>
  <c r="N80" i="79"/>
  <c r="O101" i="50"/>
  <c r="L74" i="85"/>
  <c r="L92" i="42"/>
  <c r="G37"/>
  <c r="L9"/>
  <c r="N31" i="50"/>
  <c r="K51" i="79"/>
  <c r="L67"/>
  <c r="K32" i="85"/>
  <c r="L24"/>
  <c r="K98" i="52"/>
  <c r="O74" i="42"/>
  <c r="K5"/>
  <c r="N82" i="85"/>
  <c r="N13" i="79"/>
  <c r="N36" i="52"/>
  <c r="M52"/>
  <c r="N11" i="50"/>
  <c r="K86" i="85"/>
  <c r="L37" i="79"/>
  <c r="N12" i="42"/>
  <c r="O52" i="85"/>
  <c r="O103" i="42"/>
  <c r="N18"/>
  <c r="M22" i="52"/>
  <c r="K51" i="85"/>
  <c r="L43" i="52"/>
  <c r="L27"/>
  <c r="N68" i="42"/>
  <c r="K19" i="85"/>
  <c r="K4" i="42"/>
  <c r="N41"/>
  <c r="L20" i="52"/>
  <c r="M21" i="50"/>
  <c r="M4" i="42"/>
  <c r="M11" i="50"/>
  <c r="K38" i="52"/>
  <c r="M79" i="85"/>
  <c r="H100" i="42"/>
  <c r="N37" i="79"/>
  <c r="K15"/>
  <c r="N50" i="42"/>
  <c r="N88" i="85"/>
  <c r="N38"/>
  <c r="O6" i="42"/>
  <c r="G106"/>
  <c r="M28"/>
  <c r="M83" i="50"/>
  <c r="O42" i="52"/>
  <c r="N9" i="50"/>
  <c r="O51" i="42"/>
  <c r="L82"/>
  <c r="O59" i="85"/>
  <c r="M82"/>
  <c r="O40"/>
  <c r="K30" i="52"/>
  <c r="F31" i="42"/>
  <c r="K42" i="52"/>
  <c r="L92"/>
  <c r="K42" i="42"/>
  <c r="M84" i="85" l="1"/>
  <c r="N90"/>
  <c r="M81"/>
  <c r="N84"/>
  <c r="L69" i="79"/>
  <c r="M69" i="85"/>
  <c r="N87" i="50"/>
  <c r="L81"/>
  <c r="M84" i="52"/>
  <c r="O93" i="79"/>
  <c r="M72"/>
  <c r="K72" i="85"/>
  <c r="L102" i="79"/>
  <c r="K108" i="85"/>
  <c r="M105"/>
  <c r="L90" i="50"/>
  <c r="K87"/>
  <c r="N63" i="79"/>
  <c r="O66" i="50"/>
  <c r="N81" i="52"/>
  <c r="N87"/>
  <c r="L96" i="50"/>
  <c r="N96"/>
  <c r="M87" i="52"/>
  <c r="L93" i="50"/>
  <c r="N105" i="52"/>
  <c r="L81"/>
  <c r="L105" i="79"/>
  <c r="K78" i="52"/>
  <c r="N84"/>
  <c r="M69"/>
  <c r="L72" i="79"/>
  <c r="M102" i="85"/>
  <c r="M78" i="52"/>
  <c r="O63"/>
  <c r="M75" i="50"/>
  <c r="L108"/>
  <c r="N72" i="85"/>
  <c r="N72" i="50"/>
  <c r="O81" i="79"/>
  <c r="M87" i="85"/>
  <c r="M96" i="79"/>
  <c r="O84" i="50"/>
  <c r="N93" i="79"/>
  <c r="O81" i="52"/>
  <c r="M102" i="50"/>
  <c r="M63" i="52"/>
  <c r="K78" i="50"/>
  <c r="L99" i="79"/>
  <c r="O75" i="50"/>
  <c r="N66"/>
  <c r="L93" i="85"/>
  <c r="N63" i="50"/>
  <c r="O72" i="85"/>
  <c r="O99" i="50"/>
  <c r="M78"/>
  <c r="N78" i="52"/>
  <c r="O96" i="79"/>
  <c r="O99" i="85"/>
  <c r="L81"/>
  <c r="N99" i="50"/>
  <c r="O69" i="85"/>
  <c r="K84"/>
  <c r="K69" i="50"/>
  <c r="O84" i="52"/>
  <c r="L105" i="85"/>
  <c r="N75" i="52"/>
  <c r="O93" i="50"/>
  <c r="L84" i="85"/>
  <c r="K99"/>
  <c r="N96" i="79"/>
  <c r="N87" i="85"/>
  <c r="K75" i="52"/>
  <c r="K93" i="85"/>
  <c r="N96" i="52"/>
  <c r="N75" i="50"/>
  <c r="O87" i="52"/>
  <c r="O69" i="79"/>
  <c r="L87"/>
  <c r="O63"/>
  <c r="N66" i="52"/>
  <c r="N81" i="85"/>
  <c r="N102" i="79"/>
  <c r="L87" i="50"/>
  <c r="M87"/>
  <c r="M90"/>
  <c r="L90" i="52"/>
  <c r="N72" i="79"/>
  <c r="L72" i="52"/>
  <c r="M63" i="85"/>
  <c r="O87"/>
  <c r="L72"/>
  <c r="M93" i="79"/>
  <c r="O105"/>
  <c r="N102" i="85"/>
  <c r="L63" i="50"/>
  <c r="K99"/>
  <c r="L66" i="79"/>
  <c r="N69" i="85"/>
  <c r="L93" i="52"/>
  <c r="O72" i="50"/>
  <c r="M90" i="85"/>
  <c r="L102" i="52"/>
  <c r="K81" i="50"/>
  <c r="K93" i="79"/>
  <c r="O93" i="52"/>
  <c r="O81" i="85"/>
  <c r="M72" i="50"/>
  <c r="O69"/>
  <c r="M72" i="85"/>
  <c r="K78"/>
  <c r="N102" i="52"/>
  <c r="M84" i="50"/>
  <c r="O96"/>
  <c r="K87" i="52"/>
  <c r="K84" i="50"/>
  <c r="M99" i="52"/>
  <c r="M63" i="50"/>
  <c r="O105" i="85"/>
  <c r="N90" i="79"/>
  <c r="M96" i="85"/>
  <c r="K102"/>
  <c r="K99" i="79"/>
  <c r="L108" i="85"/>
  <c r="O108" i="52"/>
  <c r="M93"/>
  <c r="M75" i="79"/>
  <c r="O72" i="52"/>
  <c r="K90" i="50"/>
  <c r="N69" i="52"/>
  <c r="N66" i="79"/>
  <c r="N69"/>
  <c r="L75"/>
  <c r="M108" i="50"/>
  <c r="O78" i="52"/>
  <c r="K72" i="50"/>
  <c r="N90" i="52"/>
  <c r="O75"/>
  <c r="N99"/>
  <c r="L63" i="85"/>
  <c r="K93" i="50"/>
  <c r="O99" i="79"/>
  <c r="O66" i="85"/>
  <c r="M72" i="52"/>
  <c r="M66" i="79"/>
  <c r="M69"/>
  <c r="M84"/>
  <c r="L75" i="85"/>
  <c r="L96"/>
  <c r="L66" i="52"/>
  <c r="K81" i="85"/>
  <c r="K75"/>
  <c r="N75" i="79"/>
  <c r="N72" i="52"/>
  <c r="K69" i="79"/>
  <c r="N81"/>
  <c r="N108" i="52"/>
  <c r="K93"/>
  <c r="O78" i="85"/>
  <c r="M93" i="50"/>
  <c r="K90" i="85"/>
  <c r="L99" i="52"/>
  <c r="M102" i="79"/>
  <c r="M108" i="85"/>
  <c r="O90" i="52"/>
  <c r="M75" i="85"/>
  <c r="L69" i="50"/>
  <c r="N87" i="79"/>
  <c r="N81" i="50"/>
  <c r="L84"/>
  <c r="N93" i="52"/>
  <c r="M90" i="79"/>
  <c r="M99"/>
  <c r="N105" i="50"/>
  <c r="K108"/>
  <c r="M81" i="52"/>
  <c r="N84" i="50"/>
  <c r="O102" i="85"/>
  <c r="O99" i="52"/>
  <c r="L78"/>
  <c r="L75" i="50"/>
  <c r="O69" i="52"/>
  <c r="M105" i="79"/>
  <c r="N75" i="85"/>
  <c r="N84" i="79"/>
  <c r="M78" i="85"/>
  <c r="N108" i="79"/>
  <c r="L99" i="85"/>
  <c r="O105" i="50"/>
  <c r="M96" i="52"/>
  <c r="N63"/>
  <c r="M108"/>
  <c r="K105"/>
  <c r="L102" i="50"/>
  <c r="M78" i="79"/>
  <c r="M69" i="50"/>
  <c r="O102"/>
  <c r="K66"/>
  <c r="M66" i="52"/>
  <c r="M102"/>
  <c r="M99" i="85"/>
  <c r="K87"/>
  <c r="O87" i="79"/>
  <c r="L69" i="52"/>
  <c r="K75" i="50"/>
  <c r="M81"/>
  <c r="O78"/>
  <c r="L102" i="85"/>
  <c r="O78" i="79"/>
  <c r="M66" i="85"/>
  <c r="N66"/>
  <c r="L84" i="52"/>
  <c r="L78" i="85"/>
  <c r="K96" i="50"/>
  <c r="O93" i="85"/>
  <c r="O81" i="50"/>
  <c r="M66"/>
  <c r="N99" i="79"/>
  <c r="L66" i="85"/>
  <c r="L93" i="79"/>
  <c r="K105" i="50"/>
  <c r="O90" i="79"/>
  <c r="L72" i="50"/>
  <c r="O84" i="79"/>
  <c r="O72"/>
  <c r="M105" i="52"/>
  <c r="O105"/>
  <c r="K63" i="85"/>
  <c r="L78" i="50"/>
  <c r="K105" i="79"/>
  <c r="L105" i="50"/>
  <c r="K108" i="79"/>
  <c r="L105" i="52"/>
  <c r="L78" i="79"/>
  <c r="K66" i="52"/>
  <c r="L84" i="79"/>
  <c r="K87"/>
  <c r="L63" i="52"/>
  <c r="O102" i="79"/>
  <c r="K66"/>
  <c r="K75"/>
  <c r="M87"/>
  <c r="K81"/>
  <c r="O90" i="50"/>
  <c r="N105" i="79"/>
  <c r="L99" i="50"/>
  <c r="L108" i="52"/>
  <c r="L87" i="85"/>
  <c r="O63"/>
  <c r="L75" i="52"/>
  <c r="K69" i="85"/>
  <c r="M90" i="52"/>
  <c r="K63" i="79"/>
  <c r="O87" i="50"/>
  <c r="K108" i="52"/>
  <c r="O63" i="50"/>
  <c r="K96" i="85"/>
  <c r="K99" i="52"/>
  <c r="O96" i="85"/>
  <c r="K84" i="79"/>
  <c r="K69" i="52"/>
  <c r="L108" i="79"/>
  <c r="M96" i="50"/>
  <c r="L81" i="79"/>
  <c r="K63" i="52"/>
  <c r="O102"/>
  <c r="M75"/>
  <c r="K102" i="79"/>
  <c r="M93" i="85"/>
  <c r="M108" i="79"/>
  <c r="N90" i="50"/>
  <c r="O66" i="52"/>
  <c r="M105" i="50"/>
  <c r="L87" i="52"/>
  <c r="M81" i="79"/>
  <c r="O108" i="50"/>
  <c r="O108" i="85"/>
  <c r="M99" i="50"/>
  <c r="N105" i="85"/>
  <c r="L66" i="50"/>
  <c r="K96" i="79"/>
  <c r="N108" i="50"/>
  <c r="K66" i="85"/>
  <c r="O108" i="79"/>
  <c r="L69" i="85"/>
  <c r="O75"/>
  <c r="K105"/>
  <c r="N78"/>
  <c r="M63" i="79"/>
  <c r="N108" i="85"/>
  <c r="O96" i="52"/>
  <c r="N93" i="50"/>
  <c r="K81" i="52"/>
  <c r="K72"/>
  <c r="K84"/>
  <c r="N102" i="50"/>
  <c r="L90" i="79"/>
  <c r="K90" i="52"/>
  <c r="N78" i="79"/>
  <c r="N93" i="85"/>
  <c r="N69" i="50"/>
  <c r="O75" i="79"/>
  <c r="N96" i="85"/>
  <c r="K63" i="50"/>
  <c r="O66" i="79"/>
  <c r="L63"/>
  <c r="K102" i="50"/>
  <c r="K102" i="52"/>
  <c r="N78" i="50"/>
  <c r="L90" i="85"/>
  <c r="L96" i="52"/>
  <c r="N63" i="85"/>
  <c r="O90"/>
  <c r="K78" i="79"/>
  <c r="L96"/>
  <c r="K90"/>
  <c r="N99" i="85"/>
  <c r="K96" i="52"/>
  <c r="O84" i="85"/>
  <c r="K72" i="79"/>
  <c r="C82" i="19"/>
  <c r="C84" s="1"/>
  <c r="C79"/>
  <c r="C81" s="1"/>
  <c r="C76"/>
  <c r="C78" s="1"/>
  <c r="C73"/>
  <c r="C75" s="1"/>
  <c r="C70" l="1"/>
  <c r="C72" s="1"/>
  <c r="C67" l="1"/>
  <c r="C69" s="1"/>
  <c r="C64" l="1"/>
  <c r="C66" s="1"/>
  <c r="C61" l="1"/>
  <c r="C63" s="1"/>
  <c r="BZ81" i="3"/>
  <c r="BZ80"/>
  <c r="BZ79"/>
  <c r="BZ78"/>
  <c r="C59" i="19"/>
  <c r="C58"/>
  <c r="C56"/>
  <c r="C57"/>
  <c r="BZ77" i="3"/>
  <c r="BZ75"/>
  <c r="BZ73"/>
  <c r="BZ71"/>
  <c r="BZ69"/>
  <c r="BZ67"/>
  <c r="BZ65"/>
  <c r="BZ63"/>
  <c r="BZ61"/>
  <c r="BZ59"/>
  <c r="BZ57"/>
  <c r="CO57" s="1"/>
  <c r="BZ55"/>
  <c r="CO55" s="1"/>
  <c r="BZ53"/>
  <c r="CO53" s="1"/>
  <c r="BZ51"/>
  <c r="CO51" s="1"/>
  <c r="BZ49"/>
  <c r="CO49" s="1"/>
  <c r="BZ47"/>
  <c r="CO47" s="1"/>
  <c r="BZ45"/>
  <c r="CO45" s="1"/>
  <c r="BZ43"/>
  <c r="CO43" s="1"/>
  <c r="BZ41"/>
  <c r="CO41" s="1"/>
  <c r="BZ39"/>
  <c r="CO39" s="1"/>
  <c r="BZ76"/>
  <c r="BZ74"/>
  <c r="BZ72"/>
  <c r="BZ70"/>
  <c r="BZ68"/>
  <c r="BZ66"/>
  <c r="BZ64"/>
  <c r="BZ62"/>
  <c r="BZ60"/>
  <c r="BZ58"/>
  <c r="BZ56"/>
  <c r="CO56" s="1"/>
  <c r="BZ54"/>
  <c r="CO54" s="1"/>
  <c r="BZ52"/>
  <c r="CO52" s="1"/>
  <c r="BZ50"/>
  <c r="CO50" s="1"/>
  <c r="BZ48"/>
  <c r="CO48" s="1"/>
  <c r="BZ46"/>
  <c r="CO46" s="1"/>
  <c r="BZ44"/>
  <c r="CO44" s="1"/>
  <c r="BZ42"/>
  <c r="CO42" s="1"/>
  <c r="BZ40"/>
  <c r="CO40" s="1"/>
  <c r="BZ38"/>
  <c r="CO38" s="1"/>
  <c r="BZ37"/>
  <c r="CO37" s="1"/>
  <c r="BZ36"/>
  <c r="CO36" s="1"/>
  <c r="BZ35"/>
  <c r="CO35" s="1"/>
  <c r="BZ34"/>
  <c r="CO34" s="1"/>
  <c r="BZ33"/>
  <c r="CO33" s="1"/>
  <c r="BZ32"/>
  <c r="CO32" s="1"/>
  <c r="BZ31"/>
  <c r="CO31" s="1"/>
  <c r="BZ30"/>
  <c r="CO30" s="1"/>
  <c r="BZ29"/>
  <c r="CO29" s="1"/>
  <c r="BZ28"/>
  <c r="CO28" s="1"/>
  <c r="BZ27"/>
  <c r="BZ26"/>
  <c r="A3"/>
  <c r="A55" s="1"/>
  <c r="C5" l="1"/>
  <c r="C6" s="1"/>
  <c r="L56"/>
  <c r="N56"/>
  <c r="E5"/>
  <c r="E6" s="1"/>
  <c r="C19"/>
  <c r="CO26"/>
  <c r="E19"/>
  <c r="CO27"/>
  <c r="H3"/>
  <c r="H55" s="1"/>
  <c r="Q3"/>
  <c r="Q55" s="1"/>
  <c r="BX3"/>
  <c r="BW3"/>
  <c r="K4" i="22"/>
  <c r="T2"/>
  <c r="B3"/>
  <c r="E3"/>
  <c r="G1" i="101" s="1"/>
  <c r="S2" i="22"/>
  <c r="Q2"/>
  <c r="N1" i="101" s="1"/>
  <c r="C55" i="19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G16" i="101" l="1"/>
  <c r="I12"/>
  <c r="D12"/>
  <c r="F12"/>
  <c r="I16"/>
  <c r="D16"/>
  <c r="G12"/>
  <c r="J16"/>
  <c r="F16"/>
  <c r="H12"/>
  <c r="H16"/>
  <c r="J12"/>
  <c r="B2" i="3"/>
  <c r="E108" i="42" l="1"/>
  <c r="I78"/>
  <c r="N66"/>
  <c r="O69"/>
  <c r="O108"/>
  <c r="M108"/>
  <c r="K108"/>
  <c r="L90"/>
  <c r="F84"/>
  <c r="L78"/>
  <c r="E72"/>
  <c r="F90"/>
  <c r="O90"/>
  <c r="I96"/>
  <c r="F96"/>
  <c r="N78"/>
  <c r="O87"/>
  <c r="H108"/>
  <c r="N90"/>
  <c r="L84"/>
  <c r="O105"/>
  <c r="N63"/>
  <c r="I108"/>
  <c r="M93"/>
  <c r="E78"/>
  <c r="K90"/>
  <c r="J72"/>
  <c r="H78"/>
  <c r="F102"/>
  <c r="J84"/>
  <c r="J102"/>
  <c r="O78"/>
  <c r="L75"/>
  <c r="L93"/>
  <c r="G102"/>
  <c r="N81"/>
  <c r="L81"/>
  <c r="L96"/>
  <c r="M90"/>
  <c r="K78"/>
  <c r="M99"/>
  <c r="N105"/>
  <c r="E96"/>
  <c r="K69"/>
  <c r="F78"/>
  <c r="O75"/>
  <c r="D102"/>
  <c r="G72"/>
  <c r="E66"/>
  <c r="K84"/>
  <c r="L69"/>
  <c r="D84"/>
  <c r="K99"/>
  <c r="K102"/>
  <c r="I66"/>
  <c r="N72"/>
  <c r="H96"/>
  <c r="H102"/>
  <c r="K96"/>
  <c r="I102"/>
  <c r="M105"/>
  <c r="N99"/>
  <c r="N84"/>
  <c r="L72"/>
  <c r="G96"/>
  <c r="L63"/>
  <c r="M72"/>
  <c r="M96"/>
  <c r="M66"/>
  <c r="L87"/>
  <c r="O72"/>
  <c r="N108"/>
  <c r="G84"/>
  <c r="O81"/>
  <c r="M63"/>
  <c r="K66"/>
  <c r="J66"/>
  <c r="L66"/>
  <c r="O84"/>
  <c r="H90"/>
  <c r="N93"/>
  <c r="F108"/>
  <c r="G66"/>
  <c r="I84"/>
  <c r="N96"/>
  <c r="N102"/>
  <c r="K72"/>
  <c r="L99"/>
  <c r="J78"/>
  <c r="N75"/>
  <c r="F72"/>
  <c r="O66"/>
  <c r="M78"/>
  <c r="M87"/>
  <c r="K93"/>
  <c r="O63"/>
  <c r="E90"/>
  <c r="O102"/>
  <c r="D90"/>
  <c r="M102"/>
  <c r="L105"/>
  <c r="O96"/>
  <c r="K105"/>
  <c r="I72"/>
  <c r="K87"/>
  <c r="M75"/>
  <c r="D72"/>
  <c r="M84"/>
  <c r="H66"/>
  <c r="K81"/>
  <c r="O99"/>
  <c r="J108"/>
  <c r="F66"/>
  <c r="J90"/>
  <c r="K75"/>
  <c r="M69"/>
  <c r="D96"/>
  <c r="I90"/>
  <c r="D78"/>
  <c r="O93"/>
  <c r="D108"/>
  <c r="H84"/>
  <c r="L108"/>
  <c r="G108"/>
  <c r="G90"/>
  <c r="D66"/>
  <c r="K63"/>
  <c r="G78"/>
  <c r="L102"/>
  <c r="M81"/>
  <c r="E84"/>
  <c r="E102"/>
  <c r="J96"/>
  <c r="N69"/>
  <c r="H72"/>
  <c r="N87"/>
  <c r="J108" i="52" l="1"/>
  <c r="J75" i="42"/>
  <c r="J90" i="52"/>
  <c r="J81" i="42"/>
  <c r="J63" i="52"/>
  <c r="J72"/>
  <c r="J99"/>
  <c r="J99" i="42"/>
  <c r="J90" i="85"/>
  <c r="J87" i="42"/>
  <c r="J84" i="52"/>
  <c r="J78" i="85"/>
  <c r="J93"/>
  <c r="J72"/>
  <c r="J108"/>
  <c r="J87" i="52"/>
  <c r="J84" i="85"/>
  <c r="J102" i="52"/>
  <c r="J75"/>
  <c r="J66" i="85"/>
  <c r="J81" i="52"/>
  <c r="J75" i="85"/>
  <c r="J105"/>
  <c r="J69" i="42"/>
  <c r="J63"/>
  <c r="J93" i="52"/>
  <c r="J69"/>
  <c r="J105" i="42"/>
  <c r="J105" i="52"/>
  <c r="J66"/>
  <c r="J63" i="85"/>
  <c r="J96" i="52"/>
  <c r="J96" i="85"/>
  <c r="J102"/>
  <c r="J93" i="42"/>
  <c r="J69" i="85"/>
  <c r="J99"/>
  <c r="J81"/>
  <c r="J78" i="52"/>
  <c r="J87" i="85"/>
  <c r="O14" i="65"/>
  <c r="N51" i="30"/>
  <c r="G47" i="93"/>
  <c r="I58" i="85"/>
  <c r="K55" i="83"/>
  <c r="H91" i="61"/>
  <c r="D30" i="63"/>
  <c r="H4" i="27"/>
  <c r="G12" i="47"/>
  <c r="N27" i="61"/>
  <c r="O68" i="80"/>
  <c r="O5" i="70"/>
  <c r="O42" i="34"/>
  <c r="L106" i="25"/>
  <c r="N8" i="59"/>
  <c r="I82" i="58"/>
  <c r="I104" i="54"/>
  <c r="H83" i="34"/>
  <c r="D106" i="83"/>
  <c r="G39" i="85"/>
  <c r="F40" i="19"/>
  <c r="G32" i="38"/>
  <c r="E101" i="61"/>
  <c r="F62" i="77"/>
  <c r="N68" i="93"/>
  <c r="L94" i="62"/>
  <c r="G77" i="53"/>
  <c r="O47" i="36"/>
  <c r="I4" i="79"/>
  <c r="K92" i="49"/>
  <c r="K101" i="87"/>
  <c r="J74" i="38"/>
  <c r="H23" i="58"/>
  <c r="F33" i="59"/>
  <c r="H101" i="62"/>
  <c r="D27" i="81"/>
  <c r="D77" i="45"/>
  <c r="N74" i="68"/>
  <c r="F35" i="69"/>
  <c r="F42" i="57"/>
  <c r="H83" i="29"/>
  <c r="N48" i="53"/>
  <c r="J51" i="89"/>
  <c r="N91" i="44"/>
  <c r="G13" i="72"/>
  <c r="D53" i="90"/>
  <c r="D6" i="63"/>
  <c r="J92" i="72"/>
  <c r="M18" i="34"/>
  <c r="F77" i="29"/>
  <c r="M42" i="84"/>
  <c r="O56" i="35"/>
  <c r="O65" i="94"/>
  <c r="J106" i="29"/>
  <c r="N9" i="68"/>
  <c r="J62"/>
  <c r="J100" i="74"/>
  <c r="K27" i="89"/>
  <c r="E79" i="76"/>
  <c r="L38" i="75"/>
  <c r="E41" i="50"/>
  <c r="H103" i="39"/>
  <c r="O14" i="91"/>
  <c r="G94" i="90"/>
  <c r="K43" i="60"/>
  <c r="F41" i="65"/>
  <c r="H38" i="54"/>
  <c r="J68" i="74"/>
  <c r="M23" i="73"/>
  <c r="H56" i="71"/>
  <c r="I27" i="94"/>
  <c r="L79" i="41"/>
  <c r="E35" i="60"/>
  <c r="M61" i="29"/>
  <c r="I17" i="89"/>
  <c r="G91" i="26"/>
  <c r="N98" i="76"/>
  <c r="E77" i="26"/>
  <c r="L44" i="68"/>
  <c r="G10" i="77"/>
  <c r="K76"/>
  <c r="O85" i="35"/>
  <c r="L23" i="25"/>
  <c r="H10" i="66"/>
  <c r="D26" i="91"/>
  <c r="E106" i="45"/>
  <c r="F14" i="19"/>
  <c r="L30" i="36"/>
  <c r="F106" i="53"/>
  <c r="L95" i="71"/>
  <c r="O29" i="93"/>
  <c r="J12" i="54"/>
  <c r="G82" i="62"/>
  <c r="F73" i="83"/>
  <c r="H37" i="40"/>
  <c r="D24" i="72"/>
  <c r="D83" i="55"/>
  <c r="M48" i="62"/>
  <c r="E47" i="32"/>
  <c r="J57" i="39"/>
  <c r="E53" i="38"/>
  <c r="O49" i="76"/>
  <c r="G8" i="32"/>
  <c r="E92" i="48"/>
  <c r="J54" i="19"/>
  <c r="G4" i="89"/>
  <c r="O56" i="54"/>
  <c r="I22" i="67"/>
  <c r="O95" i="80"/>
  <c r="L89" i="60"/>
  <c r="J74" i="86"/>
  <c r="M53" i="74"/>
  <c r="O12" i="61"/>
  <c r="K64" i="58"/>
  <c r="M35" i="67"/>
  <c r="J41" i="83"/>
  <c r="O89" i="71"/>
  <c r="I17" i="94"/>
  <c r="M89" i="44"/>
  <c r="O40" i="86"/>
  <c r="N45" i="46"/>
  <c r="D15" i="69"/>
  <c r="K41" i="48"/>
  <c r="E26" i="76"/>
  <c r="O8" i="40"/>
  <c r="I32" i="93"/>
  <c r="I40" i="75"/>
  <c r="O76" i="74"/>
  <c r="E20" i="93"/>
  <c r="M26" i="38"/>
  <c r="I30" i="90"/>
  <c r="H12" i="70"/>
  <c r="L25" i="83"/>
  <c r="F61" i="89"/>
  <c r="M58" i="19"/>
  <c r="K45" i="75"/>
  <c r="H41" i="41"/>
  <c r="M103" i="49"/>
  <c r="H4" i="67"/>
  <c r="E11" i="19"/>
  <c r="N25" i="35"/>
  <c r="L13" i="71"/>
  <c r="M29" i="58"/>
  <c r="H45" i="39"/>
  <c r="M19" i="36"/>
  <c r="K94" i="83"/>
  <c r="K53" i="33"/>
  <c r="G53" i="83"/>
  <c r="N56" i="81"/>
  <c r="G50" i="32"/>
  <c r="D83" i="27"/>
  <c r="L27" i="93"/>
  <c r="G17" i="91"/>
  <c r="H61" i="58"/>
  <c r="J15" i="61"/>
  <c r="F83" i="45"/>
  <c r="H95" i="87"/>
  <c r="N77" i="66"/>
  <c r="I40" i="71"/>
  <c r="L82" i="57"/>
  <c r="K16" i="67"/>
  <c r="E24" i="82"/>
  <c r="I8" i="72"/>
  <c r="L71" i="94"/>
  <c r="F56" i="76"/>
  <c r="F57" i="49"/>
  <c r="K8" i="86"/>
  <c r="K98" i="62"/>
  <c r="G4" i="47"/>
  <c r="F67" i="76"/>
  <c r="I5" i="36"/>
  <c r="H31" i="38"/>
  <c r="J104" i="69"/>
  <c r="E62" i="56"/>
  <c r="H32" i="82"/>
  <c r="K71" i="73"/>
  <c r="M57" i="84"/>
  <c r="N6" i="80"/>
  <c r="G107" i="60"/>
  <c r="I29" i="84"/>
  <c r="L28" i="63"/>
  <c r="F36" i="71"/>
  <c r="L79" i="58"/>
  <c r="F48" i="85"/>
  <c r="O36" i="48"/>
  <c r="K80" i="25"/>
  <c r="J20" i="38"/>
  <c r="E25" i="54"/>
  <c r="E46" i="79"/>
  <c r="H46" i="81"/>
  <c r="H35" i="45"/>
  <c r="D70" i="48"/>
  <c r="I22" i="38"/>
  <c r="F85" i="70"/>
  <c r="D6" i="57"/>
  <c r="D27" i="43"/>
  <c r="G74" i="62"/>
  <c r="G18" i="67"/>
  <c r="O57" i="36"/>
  <c r="G59"/>
  <c r="G36" i="84"/>
  <c r="D45" i="26"/>
  <c r="F45" i="86"/>
  <c r="K76" i="83"/>
  <c r="H45" i="84"/>
  <c r="G48" i="56"/>
  <c r="J101" i="49"/>
  <c r="O26" i="60"/>
  <c r="M19" i="27"/>
  <c r="E77" i="58"/>
  <c r="D103" i="63"/>
  <c r="D34" i="52"/>
  <c r="J47" i="48"/>
  <c r="M57" i="87"/>
  <c r="H32" i="33"/>
  <c r="J62" i="82"/>
  <c r="G74" i="54"/>
  <c r="K41" i="30"/>
  <c r="O43" i="90"/>
  <c r="L48" i="34"/>
  <c r="G68" i="61"/>
  <c r="L36" i="77"/>
  <c r="F48" i="86"/>
  <c r="J79" i="41"/>
  <c r="K17" i="30"/>
  <c r="F34"/>
  <c r="O29" i="80"/>
  <c r="G100" i="60"/>
  <c r="K46" i="83"/>
  <c r="K45" i="55"/>
  <c r="F59" i="58"/>
  <c r="H21" i="25"/>
  <c r="L32"/>
  <c r="E83" i="50"/>
  <c r="K38" i="71"/>
  <c r="G95" i="66"/>
  <c r="J23" i="64"/>
  <c r="K71" i="34"/>
  <c r="M100" i="25"/>
  <c r="H53" i="45"/>
  <c r="D11" i="71"/>
  <c r="F107" i="49"/>
  <c r="G19" i="87"/>
  <c r="D70" i="69"/>
  <c r="K42" i="70"/>
  <c r="E44" i="69"/>
  <c r="E7" i="33"/>
  <c r="F37" i="54"/>
  <c r="G59" i="70"/>
  <c r="L35" i="38"/>
  <c r="G40" i="48"/>
  <c r="E82" i="53"/>
  <c r="I50" i="19"/>
  <c r="D56" i="48"/>
  <c r="F35" i="66"/>
  <c r="O100" i="55"/>
  <c r="I15" i="87"/>
  <c r="N25" i="51"/>
  <c r="L101" i="32"/>
  <c r="G70" i="50"/>
  <c r="L101" i="76"/>
  <c r="O74" i="72"/>
  <c r="O103" i="68"/>
  <c r="D9" i="89"/>
  <c r="F70" i="39"/>
  <c r="H43" i="54"/>
  <c r="H107" i="49"/>
  <c r="M106" i="59"/>
  <c r="H98"/>
  <c r="D55" i="29"/>
  <c r="I27" i="72"/>
  <c r="N6" i="66"/>
  <c r="D43" i="56"/>
  <c r="K45" i="65"/>
  <c r="N58" i="38"/>
  <c r="K5"/>
  <c r="H94" i="45"/>
  <c r="L40" i="19"/>
  <c r="G16" i="80"/>
  <c r="O79" i="65"/>
  <c r="L48" i="39"/>
  <c r="H79" i="91"/>
  <c r="D85" i="33"/>
  <c r="I104" i="80"/>
  <c r="L31" i="71"/>
  <c r="I91" i="73"/>
  <c r="H5" i="29"/>
  <c r="J39" i="86"/>
  <c r="H57" i="67"/>
  <c r="N100" i="89"/>
  <c r="D8" i="90"/>
  <c r="O42" i="76"/>
  <c r="E30" i="92"/>
  <c r="H23" i="45"/>
  <c r="J7" i="90"/>
  <c r="F40" i="57"/>
  <c r="D26" i="72"/>
  <c r="E10" i="91"/>
  <c r="F40" i="60"/>
  <c r="E53" i="56"/>
  <c r="O91" i="43"/>
  <c r="J23" i="69"/>
  <c r="F94" i="47"/>
  <c r="O26" i="40"/>
  <c r="O44" i="56"/>
  <c r="M104" i="30"/>
  <c r="J30" i="45"/>
  <c r="F29" i="36"/>
  <c r="N30" i="35"/>
  <c r="L40" i="30"/>
  <c r="M23" i="83"/>
  <c r="H37" i="43"/>
  <c r="I71" i="91"/>
  <c r="F8" i="53"/>
  <c r="G73" i="43"/>
  <c r="E25" i="72"/>
  <c r="L17" i="49"/>
  <c r="J4" i="46"/>
  <c r="M13" i="92"/>
  <c r="L46" i="81"/>
  <c r="O41" i="64"/>
  <c r="I76" i="92"/>
  <c r="D104" i="72"/>
  <c r="L64" i="81"/>
  <c r="J59" i="44"/>
  <c r="G77" i="92"/>
  <c r="K98" i="60"/>
  <c r="D18" i="86"/>
  <c r="J70"/>
  <c r="G56" i="74"/>
  <c r="O24" i="81"/>
  <c r="I52" i="72"/>
  <c r="M76" i="60"/>
  <c r="K15" i="35"/>
  <c r="K24" i="47"/>
  <c r="O82" i="83"/>
  <c r="I35" i="94"/>
  <c r="N61" i="34"/>
  <c r="O83" i="43"/>
  <c r="D9" i="35"/>
  <c r="H59" i="94"/>
  <c r="D85" i="47"/>
  <c r="H49" i="62"/>
  <c r="G106" i="50"/>
  <c r="G48" i="43"/>
  <c r="N59" i="71"/>
  <c r="F59" i="68"/>
  <c r="N49" i="46"/>
  <c r="I14" i="34"/>
  <c r="I4" i="57"/>
  <c r="G34" i="78"/>
  <c r="E9" i="70"/>
  <c r="F6" i="58"/>
  <c r="F17" i="92"/>
  <c r="D4" i="59"/>
  <c r="I12" i="25"/>
  <c r="D88" i="50"/>
  <c r="O20" i="87"/>
  <c r="E30" i="41"/>
  <c r="M94" i="47"/>
  <c r="I31" i="62"/>
  <c r="N23" i="49"/>
  <c r="O95" i="72"/>
  <c r="M51" i="34"/>
  <c r="K50" i="25"/>
  <c r="O92" i="87"/>
  <c r="M5" i="39"/>
  <c r="K106" i="19"/>
  <c r="H85" i="32"/>
  <c r="M46" i="67"/>
  <c r="H91" i="30"/>
  <c r="M55" i="71"/>
  <c r="L79" i="35"/>
  <c r="I86" i="63"/>
  <c r="M95" i="94"/>
  <c r="J26" i="91"/>
  <c r="N13" i="87"/>
  <c r="F4" i="63"/>
  <c r="K74" i="53"/>
  <c r="N79" i="40"/>
  <c r="L83" i="82"/>
  <c r="D85" i="60"/>
  <c r="N106" i="30"/>
  <c r="M48" i="32"/>
  <c r="E5" i="75"/>
  <c r="F52" i="71"/>
  <c r="F54" i="35"/>
  <c r="E29" i="82"/>
  <c r="L7" i="56"/>
  <c r="I104" i="50"/>
  <c r="E43" i="52"/>
  <c r="L59" i="44"/>
  <c r="J61" i="26"/>
  <c r="H23" i="78"/>
  <c r="G94" i="27"/>
  <c r="F30" i="43"/>
  <c r="J26" i="79"/>
  <c r="H39" i="67"/>
  <c r="L89"/>
  <c r="K52" i="44"/>
  <c r="E82" i="66"/>
  <c r="G23" i="34"/>
  <c r="N6" i="58"/>
  <c r="G67" i="74"/>
  <c r="G49" i="69"/>
  <c r="M15" i="68"/>
  <c r="J13" i="36"/>
  <c r="K52" i="68"/>
  <c r="D104" i="73"/>
  <c r="I29" i="43"/>
  <c r="L77" i="68"/>
  <c r="F31" i="55"/>
  <c r="G32" i="25"/>
  <c r="F83" i="66"/>
  <c r="E27" i="47"/>
  <c r="K27" i="36"/>
  <c r="I13" i="72"/>
  <c r="J32" i="71"/>
  <c r="D5" i="26"/>
  <c r="J37" i="78"/>
  <c r="M98" i="29"/>
  <c r="M70" i="81"/>
  <c r="H58" i="79"/>
  <c r="M76" i="75"/>
  <c r="D12" i="40"/>
  <c r="N51" i="86"/>
  <c r="I20" i="51"/>
  <c r="O82" i="54"/>
  <c r="O48" i="83"/>
  <c r="I39" i="89"/>
  <c r="L56" i="86"/>
  <c r="K15" i="93"/>
  <c r="O107" i="38"/>
  <c r="K76" i="49"/>
  <c r="G82" i="54"/>
  <c r="J24" i="81"/>
  <c r="I91" i="41"/>
  <c r="J27" i="66"/>
  <c r="I83" i="62"/>
  <c r="K30" i="51"/>
  <c r="G46" i="27"/>
  <c r="J46" i="54"/>
  <c r="N35" i="65"/>
  <c r="M27" i="40"/>
  <c r="L104" i="58"/>
  <c r="G43" i="92"/>
  <c r="E32" i="46"/>
  <c r="O54" i="69"/>
  <c r="H98" i="45"/>
  <c r="I103" i="90"/>
  <c r="D101" i="82"/>
  <c r="L46" i="91"/>
  <c r="I64" i="61"/>
  <c r="M103" i="64"/>
  <c r="K11" i="40"/>
  <c r="N32" i="68"/>
  <c r="K79" i="43"/>
  <c r="D82" i="34"/>
  <c r="M61" i="35"/>
  <c r="F48" i="25"/>
  <c r="D80" i="56"/>
  <c r="K101" i="54"/>
  <c r="M14" i="45"/>
  <c r="M39" i="89"/>
  <c r="E19" i="90"/>
  <c r="H61" i="35"/>
  <c r="L101" i="62"/>
  <c r="F68" i="42"/>
  <c r="J54" i="51"/>
  <c r="H44" i="35"/>
  <c r="F9" i="85"/>
  <c r="H64" i="90"/>
  <c r="E47" i="91"/>
  <c r="O16" i="86"/>
  <c r="M71" i="57"/>
  <c r="J10" i="89"/>
  <c r="D89" i="30"/>
  <c r="L59" i="69"/>
  <c r="F16" i="41"/>
  <c r="E51" i="91"/>
  <c r="M41"/>
  <c r="I21" i="38"/>
  <c r="D22" i="71"/>
  <c r="H24" i="27"/>
  <c r="F86" i="83"/>
  <c r="N82" i="45"/>
  <c r="H31" i="79"/>
  <c r="G28" i="77"/>
  <c r="M91" i="46"/>
  <c r="F26" i="93"/>
  <c r="H55" i="36"/>
  <c r="I34" i="47"/>
  <c r="L76" i="87"/>
  <c r="M30" i="27"/>
  <c r="J42" i="38"/>
  <c r="L9" i="46"/>
  <c r="M7" i="86"/>
  <c r="F79" i="74"/>
  <c r="D53" i="19"/>
  <c r="J8" i="73"/>
  <c r="D83" i="60"/>
  <c r="K17" i="32"/>
  <c r="H79" i="80"/>
  <c r="H91" i="56"/>
  <c r="J23" i="54"/>
  <c r="O65" i="32"/>
  <c r="E50" i="26"/>
  <c r="E80" i="25"/>
  <c r="K51" i="38"/>
  <c r="L44" i="54"/>
  <c r="L77" i="48"/>
  <c r="D22" i="54"/>
  <c r="G7" i="48"/>
  <c r="H28" i="58"/>
  <c r="J44" i="78"/>
  <c r="I47" i="61"/>
  <c r="E6" i="29"/>
  <c r="F36" i="45"/>
  <c r="K38" i="67"/>
  <c r="K64" i="62"/>
  <c r="F58" i="56"/>
  <c r="M70" i="33"/>
  <c r="M42" i="66"/>
  <c r="H15" i="85"/>
  <c r="F34" i="71"/>
  <c r="O62" i="73"/>
  <c r="D14" i="75"/>
  <c r="O79" i="27"/>
  <c r="J5" i="35"/>
  <c r="M26" i="46"/>
  <c r="H34" i="85"/>
  <c r="J89" i="81"/>
  <c r="N82" i="66"/>
  <c r="O103" i="29"/>
  <c r="H8" i="50"/>
  <c r="I91" i="91"/>
  <c r="G77" i="89"/>
  <c r="E10" i="36"/>
  <c r="J37" i="69"/>
  <c r="N59" i="82"/>
  <c r="K51" i="74"/>
  <c r="O88" i="33"/>
  <c r="N25" i="77"/>
  <c r="G11" i="69"/>
  <c r="E4" i="81"/>
  <c r="N62" i="43"/>
  <c r="N34" i="73"/>
  <c r="N103" i="57"/>
  <c r="L79" i="89"/>
  <c r="O54" i="34"/>
  <c r="E6" i="93"/>
  <c r="O50" i="25"/>
  <c r="L48" i="19"/>
  <c r="L17" i="44"/>
  <c r="N34" i="66"/>
  <c r="L76" i="46"/>
  <c r="J9" i="90"/>
  <c r="L48"/>
  <c r="E82"/>
  <c r="E49" i="46"/>
  <c r="K92" i="65"/>
  <c r="L103" i="30"/>
  <c r="O107" i="90"/>
  <c r="K4" i="63"/>
  <c r="M94" i="54"/>
  <c r="D95" i="34"/>
  <c r="F77" i="40"/>
  <c r="N11" i="41"/>
  <c r="G80" i="64"/>
  <c r="M14" i="43"/>
  <c r="D59" i="41"/>
  <c r="I64" i="40"/>
  <c r="O43" i="89"/>
  <c r="O21" i="46"/>
  <c r="E13" i="89"/>
  <c r="D8" i="79"/>
  <c r="M14" i="58"/>
  <c r="G104" i="86"/>
  <c r="H31" i="68"/>
  <c r="L83" i="56"/>
  <c r="M83" i="25"/>
  <c r="I92" i="82"/>
  <c r="F39" i="45"/>
  <c r="L58" i="94"/>
  <c r="M94" i="73"/>
  <c r="H52" i="30"/>
  <c r="E77" i="66"/>
  <c r="M62" i="54"/>
  <c r="E94" i="91"/>
  <c r="N49" i="45"/>
  <c r="L59" i="84"/>
  <c r="M19" i="56"/>
  <c r="H47" i="81"/>
  <c r="O47" i="92"/>
  <c r="M38" i="48"/>
  <c r="K97" i="69"/>
  <c r="O34" i="71"/>
  <c r="E55" i="57"/>
  <c r="G20" i="41"/>
  <c r="D21" i="54"/>
  <c r="D54" i="46"/>
  <c r="L100" i="47"/>
  <c r="O32" i="68"/>
  <c r="L71" i="34"/>
  <c r="N57" i="56"/>
  <c r="F29" i="90"/>
  <c r="J54"/>
  <c r="F37" i="64"/>
  <c r="O86" i="84"/>
  <c r="O37" i="44"/>
  <c r="H80" i="65"/>
  <c r="K67" i="57"/>
  <c r="M61" i="48"/>
  <c r="J107" i="53"/>
  <c r="O97" i="56"/>
  <c r="D14" i="42"/>
  <c r="I100" i="89"/>
  <c r="D43" i="33"/>
  <c r="M70" i="25"/>
  <c r="G77" i="59"/>
  <c r="I103" i="81"/>
  <c r="E68" i="32"/>
  <c r="F38" i="93"/>
  <c r="H35" i="55"/>
  <c r="H30" i="45"/>
  <c r="G32"/>
  <c r="H79" i="67"/>
  <c r="E31" i="52"/>
  <c r="F15" i="34"/>
  <c r="I33" i="51"/>
  <c r="O13" i="58"/>
  <c r="E32" i="42"/>
  <c r="K91" i="32"/>
  <c r="J48" i="36"/>
  <c r="O10" i="34"/>
  <c r="H12" i="74"/>
  <c r="O82" i="76"/>
  <c r="D64" i="41"/>
  <c r="F4" i="33"/>
  <c r="F4" i="58"/>
  <c r="M39" i="63"/>
  <c r="L104" i="60"/>
  <c r="I10" i="25"/>
  <c r="M97" i="64"/>
  <c r="L85" i="89"/>
  <c r="M38" i="75"/>
  <c r="F106" i="52"/>
  <c r="H73" i="74"/>
  <c r="L35" i="51"/>
  <c r="H35" i="48"/>
  <c r="M104"/>
  <c r="D95" i="66"/>
  <c r="G55" i="52"/>
  <c r="F10" i="76"/>
  <c r="K107" i="82"/>
  <c r="F100" i="58"/>
  <c r="I17" i="40"/>
  <c r="O53" i="90"/>
  <c r="J37" i="66"/>
  <c r="F22" i="49"/>
  <c r="G14" i="78"/>
  <c r="O59" i="86"/>
  <c r="D26" i="82"/>
  <c r="N19" i="91"/>
  <c r="D58" i="63"/>
  <c r="N64" i="49"/>
  <c r="K12" i="57"/>
  <c r="E57" i="83"/>
  <c r="E19" i="57"/>
  <c r="F33" i="46"/>
  <c r="H13" i="85"/>
  <c r="F10" i="58"/>
  <c r="D101" i="86"/>
  <c r="I59" i="87"/>
  <c r="L46" i="76"/>
  <c r="L61" i="32"/>
  <c r="L47" i="40"/>
  <c r="I73" i="58"/>
  <c r="D34" i="73"/>
  <c r="L65" i="45"/>
  <c r="I55" i="35"/>
  <c r="M4" i="93"/>
  <c r="N19" i="51"/>
  <c r="E68" i="27"/>
  <c r="L65" i="38"/>
  <c r="N89" i="29"/>
  <c r="I18" i="47"/>
  <c r="J103" i="46"/>
  <c r="L25" i="39"/>
  <c r="M26" i="87"/>
  <c r="H23" i="19"/>
  <c r="N107" i="46"/>
  <c r="O32" i="80"/>
  <c r="E37" i="51"/>
  <c r="N48"/>
  <c r="N42" i="32"/>
  <c r="O83" i="91"/>
  <c r="M16" i="48"/>
  <c r="E32" i="63"/>
  <c r="E67" i="81"/>
  <c r="N85" i="36"/>
  <c r="J58" i="47"/>
  <c r="K55" i="76"/>
  <c r="J18" i="78"/>
  <c r="I28" i="26"/>
  <c r="N38" i="47"/>
  <c r="L106"/>
  <c r="I58" i="30"/>
  <c r="F82" i="47"/>
  <c r="I24" i="26"/>
  <c r="G45" i="90"/>
  <c r="E48" i="92"/>
  <c r="H48" i="46"/>
  <c r="G9" i="65"/>
  <c r="L17" i="47"/>
  <c r="O7" i="54"/>
  <c r="N65" i="91"/>
  <c r="H56" i="70"/>
  <c r="N53" i="30"/>
  <c r="M55" i="92"/>
  <c r="L54" i="84"/>
  <c r="D23" i="44"/>
  <c r="G17" i="26"/>
  <c r="E31" i="75"/>
  <c r="E49" i="43"/>
  <c r="F52" i="64"/>
  <c r="F11" i="74"/>
  <c r="K52" i="49"/>
  <c r="I39" i="69"/>
  <c r="M12" i="54"/>
  <c r="E19" i="91"/>
  <c r="F62" i="49"/>
  <c r="J49" i="75"/>
  <c r="K19" i="53"/>
  <c r="J91" i="79"/>
  <c r="L6" i="78"/>
  <c r="J82" i="25"/>
  <c r="L83" i="53"/>
  <c r="J7" i="61"/>
  <c r="M24" i="70"/>
  <c r="E82" i="47"/>
  <c r="H86" i="86"/>
  <c r="I7" i="93"/>
  <c r="H61" i="72"/>
  <c r="H42" i="66"/>
  <c r="I64" i="86"/>
  <c r="H104" i="77"/>
  <c r="M22" i="41"/>
  <c r="N40" i="82"/>
  <c r="M23" i="91"/>
  <c r="L57" i="64"/>
  <c r="O79" i="66"/>
  <c r="F68" i="67"/>
  <c r="D101" i="74"/>
  <c r="I83" i="49"/>
  <c r="G55" i="55"/>
  <c r="D39" i="48"/>
  <c r="I65" i="80"/>
  <c r="E13" i="85"/>
  <c r="O7" i="30"/>
  <c r="H103" i="68"/>
  <c r="F97" i="63"/>
  <c r="E52" i="38"/>
  <c r="E55" i="79"/>
  <c r="F94" i="38"/>
  <c r="L76" i="76"/>
  <c r="N30" i="81"/>
  <c r="N33" i="80"/>
  <c r="D68" i="64"/>
  <c r="G100" i="63"/>
  <c r="E71" i="74"/>
  <c r="D26" i="77"/>
  <c r="H104" i="53"/>
  <c r="D100" i="46"/>
  <c r="K47" i="38"/>
  <c r="K15" i="27"/>
  <c r="O39" i="49"/>
  <c r="J80" i="72"/>
  <c r="E6" i="52"/>
  <c r="N46" i="46"/>
  <c r="I16"/>
  <c r="N29" i="57"/>
  <c r="D55" i="60"/>
  <c r="H20" i="77"/>
  <c r="J45" i="41"/>
  <c r="D62" i="68"/>
  <c r="M6" i="83"/>
  <c r="F4" i="90"/>
  <c r="G50" i="67"/>
  <c r="K26" i="47"/>
  <c r="D24" i="43"/>
  <c r="D36" i="78"/>
  <c r="I28" i="86"/>
  <c r="H65" i="68"/>
  <c r="N70" i="38"/>
  <c r="M94" i="63"/>
  <c r="N46" i="58"/>
  <c r="H70" i="86"/>
  <c r="J43" i="49"/>
  <c r="L50" i="90"/>
  <c r="N76" i="55"/>
  <c r="L107" i="48"/>
  <c r="F46" i="39"/>
  <c r="I21" i="70"/>
  <c r="F30" i="92"/>
  <c r="L89" i="39"/>
  <c r="I30" i="57"/>
  <c r="N83" i="92"/>
  <c r="M76" i="59"/>
  <c r="I29" i="57"/>
  <c r="D32" i="19"/>
  <c r="E29" i="45"/>
  <c r="J40" i="50"/>
  <c r="L68" i="82"/>
  <c r="N74" i="19"/>
  <c r="E92" i="34"/>
  <c r="G34" i="76"/>
  <c r="N4" i="34"/>
  <c r="H21" i="90"/>
  <c r="E4" i="72"/>
  <c r="K17" i="93"/>
  <c r="N103" i="29"/>
  <c r="I44" i="93"/>
  <c r="O51" i="91"/>
  <c r="K88" i="83"/>
  <c r="I26" i="42"/>
  <c r="E79" i="68"/>
  <c r="J61" i="47"/>
  <c r="N26" i="53"/>
  <c r="F82" i="25"/>
  <c r="N7" i="89"/>
  <c r="M85" i="49"/>
  <c r="I46" i="74"/>
  <c r="L21" i="30"/>
  <c r="N91" i="78"/>
  <c r="N59" i="57"/>
  <c r="J45" i="25"/>
  <c r="E106" i="67"/>
  <c r="L80" i="59"/>
  <c r="K97" i="48"/>
  <c r="J50" i="38"/>
  <c r="M92" i="62"/>
  <c r="D62" i="26"/>
  <c r="N49" i="90"/>
  <c r="E57" i="57"/>
  <c r="D73" i="91"/>
  <c r="N82" i="48"/>
  <c r="E19" i="82"/>
  <c r="M54" i="77"/>
  <c r="I95" i="80"/>
  <c r="K21" i="81"/>
  <c r="H80" i="50"/>
  <c r="O70" i="71"/>
  <c r="O8" i="72"/>
  <c r="K22" i="76"/>
  <c r="K36" i="66"/>
  <c r="G10" i="59"/>
  <c r="I42" i="87"/>
  <c r="H50" i="76"/>
  <c r="M85" i="32"/>
  <c r="D5" i="61"/>
  <c r="I41" i="74"/>
  <c r="G31" i="72"/>
  <c r="I7" i="65"/>
  <c r="N73" i="72"/>
  <c r="N79" i="56"/>
  <c r="H22" i="91"/>
  <c r="O79" i="33"/>
  <c r="J43" i="40"/>
  <c r="L79" i="69"/>
  <c r="J79" i="89"/>
  <c r="D13" i="72"/>
  <c r="M49" i="64"/>
  <c r="J46" i="77"/>
  <c r="G107" i="30"/>
  <c r="L39" i="64"/>
  <c r="G95" i="32"/>
  <c r="J40" i="57"/>
  <c r="H40" i="75"/>
  <c r="G98" i="93"/>
  <c r="K22" i="92"/>
  <c r="D86" i="27"/>
  <c r="H38" i="92"/>
  <c r="E61" i="49"/>
  <c r="E101" i="66"/>
  <c r="H41" i="71"/>
  <c r="L64" i="92"/>
  <c r="M64" i="57"/>
  <c r="O9" i="39"/>
  <c r="D71" i="55"/>
  <c r="N106" i="19"/>
  <c r="I77" i="27"/>
  <c r="D89" i="81"/>
  <c r="F12" i="78"/>
  <c r="L106" i="57"/>
  <c r="G4" i="56"/>
  <c r="L94" i="61"/>
  <c r="H56" i="72"/>
  <c r="F68" i="69"/>
  <c r="D34" i="70"/>
  <c r="N32" i="30"/>
  <c r="I51" i="39"/>
  <c r="D74" i="73"/>
  <c r="K94" i="89"/>
  <c r="J51" i="65"/>
  <c r="E39" i="58"/>
  <c r="L62" i="29"/>
  <c r="K100" i="73"/>
  <c r="M51" i="92"/>
  <c r="L101" i="60"/>
  <c r="O83" i="32"/>
  <c r="H19" i="45"/>
  <c r="E73" i="47"/>
  <c r="N47" i="49"/>
  <c r="M103" i="83"/>
  <c r="N19" i="43"/>
  <c r="K100" i="58"/>
  <c r="L39" i="62"/>
  <c r="K4" i="60"/>
  <c r="H54" i="26"/>
  <c r="F7" i="92"/>
  <c r="I5" i="94"/>
  <c r="F54" i="55"/>
  <c r="K41" i="39"/>
  <c r="J52" i="26"/>
  <c r="F82" i="78"/>
  <c r="L36" i="58"/>
  <c r="G91" i="53"/>
  <c r="N32" i="45"/>
  <c r="O50" i="67"/>
  <c r="J48" i="50"/>
  <c r="D57" i="32"/>
  <c r="E9" i="47"/>
  <c r="J62" i="53"/>
  <c r="L52" i="43"/>
  <c r="K82" i="61"/>
  <c r="H74" i="94"/>
  <c r="O70" i="36"/>
  <c r="I6" i="94"/>
  <c r="F39" i="59"/>
  <c r="E35" i="73"/>
  <c r="D73" i="90"/>
  <c r="M19" i="43"/>
  <c r="K6" i="91"/>
  <c r="J7" i="77"/>
  <c r="E18" i="56"/>
  <c r="F18" i="69"/>
  <c r="L98" i="45"/>
  <c r="G95" i="67"/>
  <c r="K73" i="82"/>
  <c r="I43" i="90"/>
  <c r="F18" i="91"/>
  <c r="H20" i="40"/>
  <c r="E10" i="84"/>
  <c r="O64" i="62"/>
  <c r="F98" i="52"/>
  <c r="H59" i="72"/>
  <c r="O26" i="89"/>
  <c r="F86" i="34"/>
  <c r="I35" i="36"/>
  <c r="M79" i="93"/>
  <c r="F77" i="74"/>
  <c r="J15" i="19"/>
  <c r="D73" i="63"/>
  <c r="E15" i="76"/>
  <c r="N49" i="87"/>
  <c r="D98" i="74"/>
  <c r="I35" i="81"/>
  <c r="E101" i="32"/>
  <c r="L103" i="35"/>
  <c r="M54" i="83"/>
  <c r="O13" i="64"/>
  <c r="L10" i="76"/>
  <c r="D46" i="64"/>
  <c r="K36" i="44"/>
  <c r="E107" i="62"/>
  <c r="M7" i="56"/>
  <c r="F107" i="70"/>
  <c r="J100" i="51"/>
  <c r="J17" i="19"/>
  <c r="N51" i="83"/>
  <c r="J85" i="74"/>
  <c r="M54" i="55"/>
  <c r="G46" i="44"/>
  <c r="N9" i="77"/>
  <c r="G79" i="87"/>
  <c r="M53" i="71"/>
  <c r="D92" i="52"/>
  <c r="K101" i="73"/>
  <c r="L7" i="30"/>
  <c r="G25" i="83"/>
  <c r="M19" i="40"/>
  <c r="K10" i="58"/>
  <c r="D34" i="72"/>
  <c r="O100" i="75"/>
  <c r="M14" i="47"/>
  <c r="H13" i="72"/>
  <c r="K79" i="89"/>
  <c r="G70" i="78"/>
  <c r="I20" i="90"/>
  <c r="J10" i="57"/>
  <c r="E79" i="78"/>
  <c r="H36" i="66"/>
  <c r="O4" i="40"/>
  <c r="J26" i="25"/>
  <c r="M89" i="70"/>
  <c r="E54" i="32"/>
  <c r="F13" i="80"/>
  <c r="K49" i="25"/>
  <c r="E64" i="44"/>
  <c r="M4" i="40"/>
  <c r="H97" i="68"/>
  <c r="O88" i="70"/>
  <c r="O67" i="54"/>
  <c r="N68" i="36"/>
  <c r="L65" i="77"/>
  <c r="F32" i="80"/>
  <c r="F74" i="39"/>
  <c r="F13" i="81"/>
  <c r="N12" i="76"/>
  <c r="N94" i="19"/>
  <c r="I29" i="34"/>
  <c r="H32" i="60"/>
  <c r="F64" i="25"/>
  <c r="I14" i="45"/>
  <c r="G65" i="76"/>
  <c r="M101" i="68"/>
  <c r="D83" i="71"/>
  <c r="L9" i="87"/>
  <c r="E94" i="90"/>
  <c r="I23" i="80"/>
  <c r="H82" i="52"/>
  <c r="K59" i="59"/>
  <c r="O33" i="32"/>
  <c r="M56" i="70"/>
  <c r="I71" i="56"/>
  <c r="M33" i="70"/>
  <c r="I49" i="32"/>
  <c r="F44"/>
  <c r="O48" i="35"/>
  <c r="M67" i="29"/>
  <c r="O4" i="56"/>
  <c r="O55" i="40"/>
  <c r="L73" i="47"/>
  <c r="J46" i="62"/>
  <c r="E20" i="75"/>
  <c r="F68" i="55"/>
  <c r="F41" i="49"/>
  <c r="M79" i="83"/>
  <c r="O37" i="90"/>
  <c r="H57" i="70"/>
  <c r="N21" i="57"/>
  <c r="L12" i="19"/>
  <c r="I29" i="65"/>
  <c r="G14" i="19"/>
  <c r="M106" i="80"/>
  <c r="J107" i="61"/>
  <c r="L12" i="46"/>
  <c r="D103" i="86"/>
  <c r="I6" i="57"/>
  <c r="L83" i="93"/>
  <c r="F74" i="43"/>
  <c r="O53" i="72"/>
  <c r="E100" i="52"/>
  <c r="K88" i="46"/>
  <c r="G20" i="52"/>
  <c r="F27" i="75"/>
  <c r="J22" i="71"/>
  <c r="N59" i="49"/>
  <c r="H8" i="35"/>
  <c r="M16" i="80"/>
  <c r="O106" i="89"/>
  <c r="J4" i="34"/>
  <c r="D36" i="51"/>
  <c r="M29" i="94"/>
  <c r="D6" i="30"/>
  <c r="H32" i="72"/>
  <c r="E56" i="78"/>
  <c r="I56" i="38"/>
  <c r="E80" i="40"/>
  <c r="N50" i="63"/>
  <c r="J7" i="40"/>
  <c r="G9" i="67"/>
  <c r="E67" i="89"/>
  <c r="J88"/>
  <c r="F12" i="50"/>
  <c r="J100" i="44"/>
  <c r="I18" i="73"/>
  <c r="J24" i="26"/>
  <c r="G29" i="91"/>
  <c r="D56" i="33"/>
  <c r="E7" i="25"/>
  <c r="N86" i="61"/>
  <c r="E52" i="45"/>
  <c r="G41" i="81"/>
  <c r="F38" i="90"/>
  <c r="N30" i="34"/>
  <c r="H106" i="62"/>
  <c r="G71" i="57"/>
  <c r="K4" i="58"/>
  <c r="D12" i="73"/>
  <c r="I39" i="65"/>
  <c r="M36" i="36"/>
  <c r="J24" i="68"/>
  <c r="H16" i="74"/>
  <c r="L19" i="80"/>
  <c r="O43" i="43"/>
  <c r="F89" i="38"/>
  <c r="H71" i="43"/>
  <c r="G58" i="76"/>
  <c r="N85" i="34"/>
  <c r="O46" i="90"/>
  <c r="O77" i="64"/>
  <c r="J85" i="55"/>
  <c r="O45" i="33"/>
  <c r="N40" i="26"/>
  <c r="J9" i="80"/>
  <c r="O40" i="63"/>
  <c r="M40" i="74"/>
  <c r="O77" i="54"/>
  <c r="I56" i="89"/>
  <c r="F21" i="25"/>
  <c r="K64" i="46"/>
  <c r="H9" i="63"/>
  <c r="G7" i="84"/>
  <c r="F17" i="78"/>
  <c r="H37" i="32"/>
  <c r="L20" i="34"/>
  <c r="I51" i="93"/>
  <c r="E89" i="39"/>
  <c r="L50"/>
  <c r="O70" i="48"/>
  <c r="L41" i="70"/>
  <c r="H55" i="55"/>
  <c r="N43" i="90"/>
  <c r="K57" i="49"/>
  <c r="I48" i="32"/>
  <c r="N74" i="29"/>
  <c r="I5" i="60"/>
  <c r="N19" i="32"/>
  <c r="E106" i="62"/>
  <c r="E18" i="30"/>
  <c r="O5" i="67"/>
  <c r="K86" i="59"/>
  <c r="E76" i="27"/>
  <c r="H14"/>
  <c r="M37" i="54"/>
  <c r="J19" i="89"/>
  <c r="M83" i="83"/>
  <c r="G67" i="55"/>
  <c r="F43" i="73"/>
  <c r="D59" i="72"/>
  <c r="E103" i="41"/>
  <c r="J91" i="62"/>
  <c r="F54" i="66"/>
  <c r="M74" i="58"/>
  <c r="J73" i="76"/>
  <c r="G55" i="38"/>
  <c r="I55" i="50"/>
  <c r="F29" i="38"/>
  <c r="E70" i="80"/>
  <c r="O38" i="46"/>
  <c r="F28" i="25"/>
  <c r="H40" i="87"/>
  <c r="D101" i="78"/>
  <c r="F103" i="76"/>
  <c r="N68" i="90"/>
  <c r="K55" i="61"/>
  <c r="G18" i="54"/>
  <c r="G71" i="56"/>
  <c r="F53" i="46"/>
  <c r="I70" i="43"/>
  <c r="G92" i="34"/>
  <c r="F80" i="85"/>
  <c r="D57" i="78"/>
  <c r="N61" i="84"/>
  <c r="L9" i="40"/>
  <c r="K43" i="91"/>
  <c r="K103"/>
  <c r="N52" i="25"/>
  <c r="K98" i="82"/>
  <c r="D61" i="34"/>
  <c r="L9" i="48"/>
  <c r="J88" i="66"/>
  <c r="D68" i="91"/>
  <c r="E61" i="72"/>
  <c r="L31" i="64"/>
  <c r="O104" i="80"/>
  <c r="G40" i="71"/>
  <c r="G64" i="38"/>
  <c r="F107" i="26"/>
  <c r="M39" i="43"/>
  <c r="G40" i="82"/>
  <c r="E26" i="83"/>
  <c r="I17" i="90"/>
  <c r="E46" i="52"/>
  <c r="G85" i="80"/>
  <c r="K83" i="29"/>
  <c r="I33" i="26"/>
  <c r="N44" i="39"/>
  <c r="L45" i="51"/>
  <c r="N97" i="33"/>
  <c r="O25" i="78"/>
  <c r="L21" i="25"/>
  <c r="D89" i="48"/>
  <c r="M32" i="84"/>
  <c r="E55" i="67"/>
  <c r="I37" i="35"/>
  <c r="D15" i="46"/>
  <c r="E5" i="74"/>
  <c r="M49" i="27"/>
  <c r="O79" i="69"/>
  <c r="F85"/>
  <c r="F19" i="63"/>
  <c r="H103" i="32"/>
  <c r="E54" i="51"/>
  <c r="H76" i="60"/>
  <c r="L24" i="54"/>
  <c r="O67" i="83"/>
  <c r="M46" i="49"/>
  <c r="O67" i="73"/>
  <c r="N20" i="62"/>
  <c r="L34" i="72"/>
  <c r="I46" i="61"/>
  <c r="G22" i="54"/>
  <c r="I62" i="77"/>
  <c r="I56" i="61"/>
  <c r="D70" i="38"/>
  <c r="F8" i="40"/>
  <c r="F74" i="60"/>
  <c r="E4" i="30"/>
  <c r="I91" i="72"/>
  <c r="N50" i="87"/>
  <c r="M29" i="64"/>
  <c r="D58" i="77"/>
  <c r="J25" i="41"/>
  <c r="D50" i="53"/>
  <c r="E10" i="93"/>
  <c r="F104" i="86"/>
  <c r="M17" i="60"/>
  <c r="O82" i="55"/>
  <c r="M55" i="41"/>
  <c r="H104" i="60"/>
  <c r="I19" i="33"/>
  <c r="E6" i="79"/>
  <c r="I68" i="27"/>
  <c r="E18" i="36"/>
  <c r="M34" i="72"/>
  <c r="K6" i="36"/>
  <c r="I68" i="33"/>
  <c r="H24" i="76"/>
  <c r="M24" i="67"/>
  <c r="K82" i="63"/>
  <c r="D23" i="46"/>
  <c r="I53" i="80"/>
  <c r="K49" i="30"/>
  <c r="L94" i="39"/>
  <c r="F101" i="87"/>
  <c r="F61" i="46"/>
  <c r="M41" i="71"/>
  <c r="O14" i="73"/>
  <c r="G5" i="77"/>
  <c r="L23" i="74"/>
  <c r="J25" i="44"/>
  <c r="J57" i="89"/>
  <c r="J97" i="93"/>
  <c r="L100" i="61"/>
  <c r="J100" i="53"/>
  <c r="L98" i="68"/>
  <c r="H15" i="86"/>
  <c r="J37" i="63"/>
  <c r="G98" i="90"/>
  <c r="G23" i="35"/>
  <c r="D58" i="64"/>
  <c r="E57" i="49"/>
  <c r="H34" i="26"/>
  <c r="E61" i="94"/>
  <c r="M33" i="27"/>
  <c r="K28" i="62"/>
  <c r="D27" i="74"/>
  <c r="D12" i="63"/>
  <c r="L9" i="93"/>
  <c r="E24" i="36"/>
  <c r="G43" i="25"/>
  <c r="L12" i="67"/>
  <c r="E9" i="48"/>
  <c r="D38" i="89"/>
  <c r="E55" i="40"/>
  <c r="K40" i="44"/>
  <c r="N40" i="60"/>
  <c r="E83" i="80"/>
  <c r="O23" i="47"/>
  <c r="O95" i="91"/>
  <c r="I77" i="32"/>
  <c r="E85" i="68"/>
  <c r="M45" i="76"/>
  <c r="M107" i="51"/>
  <c r="N7" i="58"/>
  <c r="K68" i="39"/>
  <c r="J13"/>
  <c r="M6" i="81"/>
  <c r="K28" i="77"/>
  <c r="D40" i="36"/>
  <c r="E91" i="45"/>
  <c r="K76" i="71"/>
  <c r="G64" i="41"/>
  <c r="K37" i="94"/>
  <c r="H106" i="35"/>
  <c r="J59" i="29"/>
  <c r="G47" i="25"/>
  <c r="D94" i="63"/>
  <c r="D97" i="80"/>
  <c r="O48" i="70"/>
  <c r="E98" i="67"/>
  <c r="D44" i="38"/>
  <c r="I50" i="51"/>
  <c r="E97" i="62"/>
  <c r="D19" i="79"/>
  <c r="H76" i="45"/>
  <c r="N50" i="71"/>
  <c r="K62" i="56"/>
  <c r="K50" i="59"/>
  <c r="J82" i="45"/>
  <c r="O8" i="36"/>
  <c r="G21" i="75"/>
  <c r="K12" i="84"/>
  <c r="L46" i="47"/>
  <c r="G39" i="48"/>
  <c r="D61" i="94"/>
  <c r="D107" i="47"/>
  <c r="F19" i="65"/>
  <c r="D16" i="81"/>
  <c r="M80" i="93"/>
  <c r="G35" i="84"/>
  <c r="K11" i="82"/>
  <c r="L41" i="48"/>
  <c r="F79" i="56"/>
  <c r="N73" i="40"/>
  <c r="L44" i="64"/>
  <c r="L57" i="81"/>
  <c r="N32" i="29"/>
  <c r="D47" i="66"/>
  <c r="E40" i="82"/>
  <c r="F107" i="80"/>
  <c r="O53" i="81"/>
  <c r="O8" i="66"/>
  <c r="F6" i="45"/>
  <c r="K83" i="27"/>
  <c r="J95" i="70"/>
  <c r="L62" i="26"/>
  <c r="M76"/>
  <c r="H70" i="69"/>
  <c r="O35" i="40"/>
  <c r="E51" i="73"/>
  <c r="H49" i="35"/>
  <c r="I79" i="71"/>
  <c r="N11" i="84"/>
  <c r="K85" i="92"/>
  <c r="O55" i="82"/>
  <c r="E64" i="71"/>
  <c r="F85" i="80"/>
  <c r="M51" i="54"/>
  <c r="D73" i="72"/>
  <c r="H43" i="70"/>
  <c r="H65" i="55"/>
  <c r="J74" i="81"/>
  <c r="J27" i="67"/>
  <c r="J20" i="92"/>
  <c r="F54" i="63"/>
  <c r="E9" i="56"/>
  <c r="D80" i="73"/>
  <c r="O58" i="89"/>
  <c r="E11" i="48"/>
  <c r="F57" i="50"/>
  <c r="M61" i="77"/>
  <c r="F74" i="47"/>
  <c r="H10" i="52"/>
  <c r="L49" i="29"/>
  <c r="I58" i="42"/>
  <c r="J73" i="53"/>
  <c r="O92" i="94"/>
  <c r="F77" i="89"/>
  <c r="N76" i="29"/>
  <c r="L67" i="60"/>
  <c r="F61" i="55"/>
  <c r="I13" i="66"/>
  <c r="H46" i="44"/>
  <c r="N73" i="48"/>
  <c r="O42" i="61"/>
  <c r="D39" i="70"/>
  <c r="F52" i="65"/>
  <c r="F40" i="64"/>
  <c r="E86" i="59"/>
  <c r="J91" i="86"/>
  <c r="I37" i="34"/>
  <c r="H71" i="27"/>
  <c r="L25" i="56"/>
  <c r="N77" i="47"/>
  <c r="G67" i="33"/>
  <c r="L51" i="78"/>
  <c r="L64" i="39"/>
  <c r="J29" i="32"/>
  <c r="J32" i="29"/>
  <c r="N43" i="30"/>
  <c r="E48" i="77"/>
  <c r="D34" i="34"/>
  <c r="D88" i="57"/>
  <c r="O98" i="62"/>
  <c r="H27" i="93"/>
  <c r="G54" i="41"/>
  <c r="E44" i="29"/>
  <c r="J58" i="39"/>
  <c r="K22" i="33"/>
  <c r="M91" i="30"/>
  <c r="I19" i="64"/>
  <c r="N103" i="49"/>
  <c r="M73" i="34"/>
  <c r="H36" i="75"/>
  <c r="N9" i="33"/>
  <c r="H61" i="47"/>
  <c r="O86" i="68"/>
  <c r="D62" i="93"/>
  <c r="J58" i="57"/>
  <c r="N48" i="76"/>
  <c r="J54" i="80"/>
  <c r="G56" i="62"/>
  <c r="E103" i="82"/>
  <c r="F23" i="65"/>
  <c r="I71" i="80"/>
  <c r="G73" i="41"/>
  <c r="E97" i="91"/>
  <c r="K59" i="74"/>
  <c r="F23" i="44"/>
  <c r="K31" i="70"/>
  <c r="F22" i="62"/>
  <c r="I92" i="49"/>
  <c r="D50" i="76"/>
  <c r="O4" i="64"/>
  <c r="F45" i="70"/>
  <c r="K54" i="27"/>
  <c r="L11" i="71"/>
  <c r="I43" i="80"/>
  <c r="F32" i="47"/>
  <c r="M67" i="45"/>
  <c r="N83" i="89"/>
  <c r="D65" i="35"/>
  <c r="M98" i="94"/>
  <c r="L91" i="83"/>
  <c r="F31" i="54"/>
  <c r="L41" i="80"/>
  <c r="K103" i="65"/>
  <c r="K22" i="72"/>
  <c r="J44" i="74"/>
  <c r="H83"/>
  <c r="G23" i="69"/>
  <c r="L14" i="65"/>
  <c r="N45" i="87"/>
  <c r="K4" i="92"/>
  <c r="J91" i="82"/>
  <c r="I47" i="84"/>
  <c r="F70" i="62"/>
  <c r="G91" i="48"/>
  <c r="M47" i="84"/>
  <c r="I106" i="85"/>
  <c r="G4" i="65"/>
  <c r="L20" i="43"/>
  <c r="F103" i="60"/>
  <c r="N53" i="44"/>
  <c r="O88" i="27"/>
  <c r="H41" i="67"/>
  <c r="L6" i="38"/>
  <c r="D40" i="42"/>
  <c r="F88" i="93"/>
  <c r="E17" i="53"/>
  <c r="L70" i="67"/>
  <c r="K13" i="44"/>
  <c r="O28"/>
  <c r="H41" i="74"/>
  <c r="M95" i="91"/>
  <c r="O59" i="81"/>
  <c r="I29" i="52"/>
  <c r="N38" i="71"/>
  <c r="H77" i="47"/>
  <c r="J25" i="70"/>
  <c r="J79" i="40"/>
  <c r="L57" i="87"/>
  <c r="K19" i="93"/>
  <c r="N5" i="91"/>
  <c r="H5" i="57"/>
  <c r="G5" i="89"/>
  <c r="L67" i="53"/>
  <c r="G40" i="77"/>
  <c r="O107" i="76"/>
  <c r="D36" i="36"/>
  <c r="G45" i="80"/>
  <c r="K19" i="32"/>
  <c r="N31" i="91"/>
  <c r="K7" i="54"/>
  <c r="G11" i="84"/>
  <c r="D56" i="80"/>
  <c r="F8" i="87"/>
  <c r="I104" i="51"/>
  <c r="E103" i="25"/>
  <c r="J22" i="51"/>
  <c r="O7" i="83"/>
  <c r="F104" i="90"/>
  <c r="H9" i="54"/>
  <c r="J21" i="92"/>
  <c r="E21" i="43"/>
  <c r="D34" i="39"/>
  <c r="G94" i="59"/>
  <c r="D100" i="81"/>
  <c r="O73" i="59"/>
  <c r="H50" i="29"/>
  <c r="E33" i="30"/>
  <c r="G9" i="63"/>
  <c r="N44" i="29"/>
  <c r="E33" i="51"/>
  <c r="I68" i="90"/>
  <c r="O89" i="38"/>
  <c r="L32" i="33"/>
  <c r="M91" i="75"/>
  <c r="N107" i="74"/>
  <c r="K22" i="35"/>
  <c r="I89" i="27"/>
  <c r="F76" i="57"/>
  <c r="J82" i="39"/>
  <c r="O5" i="44"/>
  <c r="E6" i="32"/>
  <c r="M42" i="90"/>
  <c r="N35" i="57"/>
  <c r="N28" i="55"/>
  <c r="E88" i="72"/>
  <c r="J17" i="84"/>
  <c r="L48" i="81"/>
  <c r="M62" i="91"/>
  <c r="N26" i="19"/>
  <c r="E31" i="62"/>
  <c r="H12" i="41"/>
  <c r="G70" i="36"/>
  <c r="I44" i="27"/>
  <c r="G95" i="73"/>
  <c r="O27" i="29"/>
  <c r="E18" i="75"/>
  <c r="N57" i="93"/>
  <c r="K44" i="44"/>
  <c r="F59" i="29"/>
  <c r="I7" i="72"/>
  <c r="K74" i="68"/>
  <c r="J65" i="94"/>
  <c r="F79" i="54"/>
  <c r="O107" i="74"/>
  <c r="O61" i="53"/>
  <c r="H95" i="81"/>
  <c r="H21" i="40"/>
  <c r="O50" i="54"/>
  <c r="O33" i="93"/>
  <c r="N85" i="41"/>
  <c r="N95" i="48"/>
  <c r="O85" i="68"/>
  <c r="J82" i="92"/>
  <c r="M56" i="90"/>
  <c r="M35" i="34"/>
  <c r="J97" i="68"/>
  <c r="I33" i="76"/>
  <c r="L7" i="75"/>
  <c r="I26" i="19"/>
  <c r="N9" i="49"/>
  <c r="K82" i="26"/>
  <c r="D67" i="49"/>
  <c r="I35" i="84"/>
  <c r="F5" i="43"/>
  <c r="J53" i="40"/>
  <c r="M27" i="57"/>
  <c r="E77" i="77"/>
  <c r="G73" i="65"/>
  <c r="L68" i="39"/>
  <c r="H32" i="30"/>
  <c r="D85" i="49"/>
  <c r="M45" i="68"/>
  <c r="L59" i="54"/>
  <c r="I94" i="63"/>
  <c r="O37" i="86"/>
  <c r="F103" i="81"/>
  <c r="N68" i="49"/>
  <c r="D47" i="91"/>
  <c r="E95"/>
  <c r="M9" i="82"/>
  <c r="G33" i="87"/>
  <c r="F51" i="70"/>
  <c r="F42" i="50"/>
  <c r="E74" i="86"/>
  <c r="F56" i="54"/>
  <c r="N97" i="58"/>
  <c r="N18" i="80"/>
  <c r="M27" i="69"/>
  <c r="F31" i="82"/>
  <c r="D91" i="74"/>
  <c r="L13" i="67"/>
  <c r="O55" i="47"/>
  <c r="D11" i="43"/>
  <c r="D106" i="63"/>
  <c r="O12" i="43"/>
  <c r="N46" i="71"/>
  <c r="G45" i="57"/>
  <c r="J52" i="38"/>
  <c r="E41" i="52"/>
  <c r="D5" i="78"/>
  <c r="F65" i="61"/>
  <c r="L42" i="65"/>
  <c r="F5" i="63"/>
  <c r="F48" i="27"/>
  <c r="H6" i="29"/>
  <c r="E95" i="92"/>
  <c r="H79" i="48"/>
  <c r="N18" i="54"/>
  <c r="F64" i="49"/>
  <c r="M65" i="65"/>
  <c r="K12" i="66"/>
  <c r="L103"/>
  <c r="H37" i="25"/>
  <c r="I48" i="87"/>
  <c r="J103" i="47"/>
  <c r="I41" i="59"/>
  <c r="L9" i="38"/>
  <c r="N97" i="65"/>
  <c r="H25" i="94"/>
  <c r="I71" i="54"/>
  <c r="F14" i="71"/>
  <c r="L48" i="51"/>
  <c r="M77" i="91"/>
  <c r="I16" i="26"/>
  <c r="M24" i="71"/>
  <c r="K98" i="45"/>
  <c r="J27" i="19"/>
  <c r="E104" i="52"/>
  <c r="G32" i="68"/>
  <c r="N58" i="47"/>
  <c r="O97" i="51"/>
  <c r="M71" i="55"/>
  <c r="J46" i="60"/>
  <c r="M86" i="38"/>
  <c r="L88" i="60"/>
  <c r="D45" i="93"/>
  <c r="G86" i="32"/>
  <c r="L55" i="40"/>
  <c r="H27" i="82"/>
  <c r="D36" i="72"/>
  <c r="M24" i="38"/>
  <c r="K46" i="29"/>
  <c r="F68" i="81"/>
  <c r="E57" i="55"/>
  <c r="I22" i="26"/>
  <c r="O22" i="36"/>
  <c r="J5" i="75"/>
  <c r="K38" i="27"/>
  <c r="G101" i="81"/>
  <c r="I101" i="58"/>
  <c r="D46" i="79"/>
  <c r="H29" i="46"/>
  <c r="F73" i="41"/>
  <c r="O101" i="46"/>
  <c r="K57"/>
  <c r="E44" i="62"/>
  <c r="K64" i="47"/>
  <c r="F11" i="87"/>
  <c r="E46" i="82"/>
  <c r="N64" i="56"/>
  <c r="E53" i="69"/>
  <c r="E30" i="82"/>
  <c r="D4" i="54"/>
  <c r="K48" i="36"/>
  <c r="J61" i="49"/>
  <c r="G49" i="46"/>
  <c r="K61" i="26"/>
  <c r="E40" i="54"/>
  <c r="J14" i="33"/>
  <c r="M35" i="51"/>
  <c r="M104" i="64"/>
  <c r="F74" i="57"/>
  <c r="E95" i="44"/>
  <c r="I9" i="45"/>
  <c r="D40" i="74"/>
  <c r="D106" i="73"/>
  <c r="O4" i="78"/>
  <c r="J29" i="62"/>
  <c r="M34" i="48"/>
  <c r="G82" i="86"/>
  <c r="D10" i="19"/>
  <c r="L83" i="64"/>
  <c r="I31" i="53"/>
  <c r="H22" i="26"/>
  <c r="N7" i="59"/>
  <c r="E88" i="92"/>
  <c r="J49" i="43"/>
  <c r="O15" i="73"/>
  <c r="H51" i="35"/>
  <c r="H80" i="48"/>
  <c r="L71" i="39"/>
  <c r="K101" i="41"/>
  <c r="D43" i="67"/>
  <c r="J28" i="54"/>
  <c r="D101" i="26"/>
  <c r="H4" i="89"/>
  <c r="D64" i="79"/>
  <c r="F9" i="63"/>
  <c r="N97" i="64"/>
  <c r="I14" i="51"/>
  <c r="F20" i="25"/>
  <c r="D56" i="70"/>
  <c r="N101" i="72"/>
  <c r="O24" i="66"/>
  <c r="E31" i="46"/>
  <c r="K34" i="62"/>
  <c r="M49" i="59"/>
  <c r="D64" i="29"/>
  <c r="E35" i="40"/>
  <c r="O19" i="74"/>
  <c r="E17" i="41"/>
  <c r="D77" i="86"/>
  <c r="I19" i="25"/>
  <c r="E52" i="94"/>
  <c r="F15" i="76"/>
  <c r="I59" i="26"/>
  <c r="F100" i="63"/>
  <c r="J91" i="29"/>
  <c r="H35" i="26"/>
  <c r="O49" i="71"/>
  <c r="N67"/>
  <c r="I28" i="54"/>
  <c r="F55" i="74"/>
  <c r="L55" i="55"/>
  <c r="I42" i="82"/>
  <c r="K42" i="77"/>
  <c r="D36" i="42"/>
  <c r="F12" i="51"/>
  <c r="J95" i="41"/>
  <c r="J42" i="66"/>
  <c r="M16" i="30"/>
  <c r="E19" i="32"/>
  <c r="G38" i="69"/>
  <c r="D17" i="94"/>
  <c r="D29" i="54"/>
  <c r="O30" i="67"/>
  <c r="I76" i="66"/>
  <c r="I59" i="85"/>
  <c r="H61" i="46"/>
  <c r="I48" i="70"/>
  <c r="E103" i="78"/>
  <c r="K97" i="73"/>
  <c r="N104" i="83"/>
  <c r="H83" i="53"/>
  <c r="L85" i="82"/>
  <c r="E38" i="93"/>
  <c r="G14" i="48"/>
  <c r="K29" i="78"/>
  <c r="E53" i="19"/>
  <c r="F100" i="89"/>
  <c r="M6" i="78"/>
  <c r="K5" i="59"/>
  <c r="J27" i="70"/>
  <c r="N57" i="33"/>
  <c r="I39" i="35"/>
  <c r="M53" i="44"/>
  <c r="D24" i="62"/>
  <c r="L32" i="83"/>
  <c r="E51" i="72"/>
  <c r="J18" i="27"/>
  <c r="I22" i="32"/>
  <c r="E19" i="76"/>
  <c r="L5" i="92"/>
  <c r="G34" i="53"/>
  <c r="L88" i="71"/>
  <c r="F5" i="47"/>
  <c r="K7" i="27"/>
  <c r="M28" i="40"/>
  <c r="J61" i="48"/>
  <c r="H45" i="75"/>
  <c r="D48" i="57"/>
  <c r="L15" i="82"/>
  <c r="G89" i="34"/>
  <c r="D82" i="91"/>
  <c r="H73" i="27"/>
  <c r="O54" i="43"/>
  <c r="E59" i="72"/>
  <c r="M71" i="19"/>
  <c r="G9" i="81"/>
  <c r="D40" i="27"/>
  <c r="K4" i="71"/>
  <c r="O15" i="45"/>
  <c r="D23" i="68"/>
  <c r="F56" i="87"/>
  <c r="N94" i="54"/>
  <c r="F14" i="61"/>
  <c r="N33" i="33"/>
  <c r="J89" i="93"/>
  <c r="E62" i="51"/>
  <c r="I22" i="44"/>
  <c r="F92" i="66"/>
  <c r="H56" i="58"/>
  <c r="E12" i="19"/>
  <c r="F48" i="33"/>
  <c r="J30" i="74"/>
  <c r="N46" i="78"/>
  <c r="J28" i="56"/>
  <c r="J47" i="94"/>
  <c r="F34" i="36"/>
  <c r="N37" i="39"/>
  <c r="E32" i="35"/>
  <c r="J67" i="39"/>
  <c r="N61" i="64"/>
  <c r="J35" i="71"/>
  <c r="J40" i="84"/>
  <c r="L38" i="30"/>
  <c r="H15" i="63"/>
  <c r="K91" i="81"/>
  <c r="I95" i="51"/>
  <c r="H34" i="74"/>
  <c r="O6" i="86"/>
  <c r="J53" i="63"/>
  <c r="F46" i="68"/>
  <c r="M12" i="36"/>
  <c r="E62" i="42"/>
  <c r="E12" i="58"/>
  <c r="K49" i="47"/>
  <c r="M40" i="75"/>
  <c r="L95"/>
  <c r="G30" i="73"/>
  <c r="K83" i="26"/>
  <c r="J28"/>
  <c r="D21" i="29"/>
  <c r="M6" i="35"/>
  <c r="F6" i="55"/>
  <c r="D89" i="86"/>
  <c r="O50" i="39"/>
  <c r="N40" i="72"/>
  <c r="K27" i="90"/>
  <c r="M28" i="51"/>
  <c r="E67" i="85"/>
  <c r="J47" i="84"/>
  <c r="N22" i="39"/>
  <c r="J31" i="87"/>
  <c r="G107" i="91"/>
  <c r="F73" i="50"/>
  <c r="J76" i="64"/>
  <c r="H21" i="92"/>
  <c r="H58" i="75"/>
  <c r="E103" i="67"/>
  <c r="L91" i="29"/>
  <c r="J30" i="58"/>
  <c r="D28" i="27"/>
  <c r="H61" i="48"/>
  <c r="F40" i="85"/>
  <c r="L62" i="30"/>
  <c r="H40" i="94"/>
  <c r="G77" i="60"/>
  <c r="E6" i="27"/>
  <c r="E8" i="43"/>
  <c r="M35" i="70"/>
  <c r="E94" i="68"/>
  <c r="M91" i="35"/>
  <c r="F17" i="39"/>
  <c r="K45"/>
  <c r="F9" i="41"/>
  <c r="G34" i="55"/>
  <c r="F65" i="36"/>
  <c r="E27" i="40"/>
  <c r="D103" i="29"/>
  <c r="K6" i="26"/>
  <c r="D47" i="77"/>
  <c r="O61" i="59"/>
  <c r="E83" i="70"/>
  <c r="D23" i="56"/>
  <c r="O106" i="73"/>
  <c r="E61" i="76"/>
  <c r="I33" i="43"/>
  <c r="N12" i="60"/>
  <c r="F18" i="61"/>
  <c r="J71" i="67"/>
  <c r="I59" i="69"/>
  <c r="K83" i="62"/>
  <c r="G76" i="64"/>
  <c r="F39" i="35"/>
  <c r="J59" i="19"/>
  <c r="D40" i="26"/>
  <c r="J17" i="82"/>
  <c r="G22" i="67"/>
  <c r="K71" i="60"/>
  <c r="N70" i="45"/>
  <c r="F6" i="27"/>
  <c r="J27" i="63"/>
  <c r="D33" i="41"/>
  <c r="H5" i="80"/>
  <c r="H5" i="77"/>
  <c r="G32" i="49"/>
  <c r="F32" i="82"/>
  <c r="N23" i="55"/>
  <c r="L47" i="83"/>
  <c r="M101" i="39"/>
  <c r="N95" i="26"/>
  <c r="I4" i="71"/>
  <c r="D94" i="84"/>
  <c r="M52" i="93"/>
  <c r="G92" i="75"/>
  <c r="M15"/>
  <c r="I30"/>
  <c r="N52" i="56"/>
  <c r="H26" i="59"/>
  <c r="H41" i="61"/>
  <c r="G50" i="63"/>
  <c r="J11" i="81"/>
  <c r="M36" i="80"/>
  <c r="D37" i="67"/>
  <c r="O34" i="93"/>
  <c r="L28" i="33"/>
  <c r="O49" i="66"/>
  <c r="M25" i="34"/>
  <c r="F76" i="60"/>
  <c r="H54" i="85"/>
  <c r="H38" i="30"/>
  <c r="L80" i="75"/>
  <c r="N73" i="34"/>
  <c r="E61" i="87"/>
  <c r="K7" i="78"/>
  <c r="G85" i="34"/>
  <c r="H85" i="89"/>
  <c r="K41" i="94"/>
  <c r="I53" i="69"/>
  <c r="E15" i="53"/>
  <c r="L52" i="56"/>
  <c r="H52" i="60"/>
  <c r="H44" i="44"/>
  <c r="E64" i="25"/>
  <c r="O44" i="65"/>
  <c r="D14" i="73"/>
  <c r="J41" i="84"/>
  <c r="N77" i="73"/>
  <c r="L100" i="74"/>
  <c r="G20"/>
  <c r="M32" i="91"/>
  <c r="O51" i="72"/>
  <c r="L22" i="34"/>
  <c r="N92" i="63"/>
  <c r="H50" i="67"/>
  <c r="F50" i="66"/>
  <c r="E71" i="49"/>
  <c r="I9" i="69"/>
  <c r="K24" i="60"/>
  <c r="J45" i="35"/>
  <c r="F19" i="38"/>
  <c r="N33" i="68"/>
  <c r="F31" i="47"/>
  <c r="E9" i="62"/>
  <c r="H45" i="59"/>
  <c r="D39" i="33"/>
  <c r="M58" i="71"/>
  <c r="N97" i="78"/>
  <c r="M62" i="41"/>
  <c r="L55" i="59"/>
  <c r="G103" i="45"/>
  <c r="M86" i="51"/>
  <c r="D92" i="68"/>
  <c r="N46" i="91"/>
  <c r="M104" i="49"/>
  <c r="F16" i="42"/>
  <c r="L47" i="34"/>
  <c r="N49" i="68"/>
  <c r="H71" i="80"/>
  <c r="O103" i="55"/>
  <c r="N30" i="60"/>
  <c r="I62" i="80"/>
  <c r="D104" i="58"/>
  <c r="M35" i="77"/>
  <c r="G21" i="57"/>
  <c r="M20" i="34"/>
  <c r="K32" i="90"/>
  <c r="H88" i="72"/>
  <c r="D85" i="91"/>
  <c r="H92" i="48"/>
  <c r="G76" i="94"/>
  <c r="J106" i="51"/>
  <c r="J95" i="59"/>
  <c r="O23" i="54"/>
  <c r="H14" i="55"/>
  <c r="I51" i="38"/>
  <c r="M20" i="84"/>
  <c r="E98" i="54"/>
  <c r="H15" i="92"/>
  <c r="G101" i="55"/>
  <c r="L24" i="83"/>
  <c r="E65" i="92"/>
  <c r="O106" i="72"/>
  <c r="H23" i="36"/>
  <c r="G106" i="62"/>
  <c r="E12" i="85"/>
  <c r="M33" i="26"/>
  <c r="M35" i="89"/>
  <c r="O57" i="93"/>
  <c r="H33" i="77"/>
  <c r="E54" i="64"/>
  <c r="M28" i="26"/>
  <c r="L5" i="77"/>
  <c r="E31" i="30"/>
  <c r="F61" i="73"/>
  <c r="H74" i="29"/>
  <c r="L103" i="61"/>
  <c r="G32" i="56"/>
  <c r="I19" i="57"/>
  <c r="F4" i="45"/>
  <c r="D44" i="27"/>
  <c r="F37" i="51"/>
  <c r="J71" i="79"/>
  <c r="K58" i="86"/>
  <c r="J74" i="79"/>
  <c r="H7" i="52"/>
  <c r="O42" i="45"/>
  <c r="N35" i="44"/>
  <c r="M50" i="59"/>
  <c r="N77" i="61"/>
  <c r="G33" i="46"/>
  <c r="J32" i="41"/>
  <c r="O51" i="62"/>
  <c r="O8" i="87"/>
  <c r="J91" i="47"/>
  <c r="M67" i="65"/>
  <c r="N8" i="92"/>
  <c r="N74" i="89"/>
  <c r="J24" i="60"/>
  <c r="G57" i="67"/>
  <c r="M65" i="48"/>
  <c r="M97" i="77"/>
  <c r="G97" i="56"/>
  <c r="M73" i="76"/>
  <c r="I21" i="61"/>
  <c r="D97" i="90"/>
  <c r="F52" i="89"/>
  <c r="G8" i="68"/>
  <c r="G28" i="40"/>
  <c r="D23" i="83"/>
  <c r="I18" i="71"/>
  <c r="I19" i="67"/>
  <c r="G79" i="48"/>
  <c r="E91" i="38"/>
  <c r="D8" i="64"/>
  <c r="M59" i="38"/>
  <c r="M10" i="57"/>
  <c r="H30" i="47"/>
  <c r="K5" i="25"/>
  <c r="O56" i="91"/>
  <c r="I40" i="56"/>
  <c r="D85" i="46"/>
  <c r="O65" i="80"/>
  <c r="L48" i="83"/>
  <c r="K18" i="64"/>
  <c r="O27" i="84"/>
  <c r="O77" i="92"/>
  <c r="K15" i="73"/>
  <c r="N37" i="90"/>
  <c r="L51" i="75"/>
  <c r="J44" i="38"/>
  <c r="F76" i="41"/>
  <c r="O47" i="67"/>
  <c r="J33" i="64"/>
  <c r="I61" i="44"/>
  <c r="G43" i="89"/>
  <c r="D67" i="93"/>
  <c r="K103" i="83"/>
  <c r="L61" i="38"/>
  <c r="H48" i="48"/>
  <c r="G11" i="75"/>
  <c r="D49" i="76"/>
  <c r="D39" i="26"/>
  <c r="L43" i="32"/>
  <c r="M107" i="39"/>
  <c r="L39" i="65"/>
  <c r="H10" i="34"/>
  <c r="F94" i="84"/>
  <c r="J47" i="29"/>
  <c r="L107" i="25"/>
  <c r="E53" i="32"/>
  <c r="H64" i="41"/>
  <c r="J54" i="33"/>
  <c r="I100" i="76"/>
  <c r="E46" i="89"/>
  <c r="E31" i="32"/>
  <c r="N20" i="66"/>
  <c r="L65" i="54"/>
  <c r="M37" i="27"/>
  <c r="K13" i="59"/>
  <c r="L14" i="53"/>
  <c r="F50" i="86"/>
  <c r="L19" i="90"/>
  <c r="J86" i="32"/>
  <c r="J30" i="36"/>
  <c r="J23" i="90"/>
  <c r="O53" i="47"/>
  <c r="H44" i="55"/>
  <c r="J53" i="53"/>
  <c r="J32" i="83"/>
  <c r="I13" i="69"/>
  <c r="J13" i="84"/>
  <c r="E49" i="33"/>
  <c r="N65" i="39"/>
  <c r="F33" i="70"/>
  <c r="H27" i="64"/>
  <c r="O21" i="19"/>
  <c r="M58" i="90"/>
  <c r="O104" i="19"/>
  <c r="G22" i="43"/>
  <c r="D27" i="76"/>
  <c r="H16" i="90"/>
  <c r="L12" i="25"/>
  <c r="K53" i="43"/>
  <c r="K11" i="26"/>
  <c r="F106" i="41"/>
  <c r="O97" i="34"/>
  <c r="G41" i="57"/>
  <c r="F10" i="19"/>
  <c r="I92" i="58"/>
  <c r="E64" i="19"/>
  <c r="G37" i="79"/>
  <c r="M46" i="54"/>
  <c r="N45" i="82"/>
  <c r="H50" i="44"/>
  <c r="H70" i="47"/>
  <c r="H76" i="71"/>
  <c r="J38" i="75"/>
  <c r="D57" i="44"/>
  <c r="J29" i="87"/>
  <c r="E42" i="56"/>
  <c r="M59" i="86"/>
  <c r="M95" i="83"/>
  <c r="K59" i="29"/>
  <c r="M68" i="36"/>
  <c r="E104" i="53"/>
  <c r="L7" i="26"/>
  <c r="K29" i="51"/>
  <c r="I48" i="36"/>
  <c r="O52"/>
  <c r="M26" i="35"/>
  <c r="L76" i="49"/>
  <c r="D80" i="93"/>
  <c r="E22" i="34"/>
  <c r="H26" i="45"/>
  <c r="O59" i="63"/>
  <c r="D86" i="55"/>
  <c r="I23" i="49"/>
  <c r="F14" i="58"/>
  <c r="M49" i="45"/>
  <c r="N35" i="67"/>
  <c r="M64" i="29"/>
  <c r="N24" i="64"/>
  <c r="E44" i="84"/>
  <c r="F101" i="82"/>
  <c r="H39" i="60"/>
  <c r="F48" i="38"/>
  <c r="O50" i="34"/>
  <c r="F80" i="27"/>
  <c r="K46" i="63"/>
  <c r="J97" i="87"/>
  <c r="J4" i="76"/>
  <c r="M23" i="94"/>
  <c r="G100" i="82"/>
  <c r="H31" i="47"/>
  <c r="G8" i="43"/>
  <c r="N82" i="55"/>
  <c r="N65" i="92"/>
  <c r="F24" i="78"/>
  <c r="F40" i="93"/>
  <c r="O80" i="57"/>
  <c r="K48" i="75"/>
  <c r="L83" i="70"/>
  <c r="I64" i="49"/>
  <c r="D14" i="48"/>
  <c r="F50" i="83"/>
  <c r="J77" i="40"/>
  <c r="N8" i="76"/>
  <c r="E16" i="54"/>
  <c r="F76" i="53"/>
  <c r="K80" i="81"/>
  <c r="F45" i="79"/>
  <c r="L39" i="43"/>
  <c r="M23"/>
  <c r="L45" i="36"/>
  <c r="G89" i="45"/>
  <c r="O46" i="71"/>
  <c r="O40" i="81"/>
  <c r="E71" i="32"/>
  <c r="H85" i="83"/>
  <c r="E53" i="75"/>
  <c r="E31" i="59"/>
  <c r="O38" i="66"/>
  <c r="O25" i="64"/>
  <c r="G20" i="94"/>
  <c r="H18" i="68"/>
  <c r="L14" i="92"/>
  <c r="G23" i="33"/>
  <c r="G23" i="76"/>
  <c r="O46" i="30"/>
  <c r="M80" i="26"/>
  <c r="D94" i="55"/>
  <c r="E82" i="89"/>
  <c r="L62" i="19"/>
  <c r="I33" i="86"/>
  <c r="M23" i="89"/>
  <c r="I62" i="67"/>
  <c r="E106" i="40"/>
  <c r="N17" i="94"/>
  <c r="N77" i="51"/>
  <c r="E26" i="40"/>
  <c r="I47" i="57"/>
  <c r="G7" i="30"/>
  <c r="F61" i="58"/>
  <c r="F40" i="84"/>
  <c r="N48" i="62"/>
  <c r="D85" i="55"/>
  <c r="M76" i="35"/>
  <c r="N71" i="71"/>
  <c r="N71" i="62"/>
  <c r="M38" i="35"/>
  <c r="F85" i="74"/>
  <c r="D33" i="26"/>
  <c r="H54" i="53"/>
  <c r="M7" i="29"/>
  <c r="F16" i="74"/>
  <c r="D92" i="66"/>
  <c r="G13" i="81"/>
  <c r="I45" i="94"/>
  <c r="I104" i="61"/>
  <c r="E82" i="55"/>
  <c r="O89" i="46"/>
  <c r="E36" i="94"/>
  <c r="G7" i="54"/>
  <c r="E5" i="43"/>
  <c r="K10" i="82"/>
  <c r="I29" i="76"/>
  <c r="L101" i="29"/>
  <c r="H62" i="41"/>
  <c r="L45" i="29"/>
  <c r="H80" i="92"/>
  <c r="N74" i="62"/>
  <c r="F31" i="53"/>
  <c r="N88" i="62"/>
  <c r="J23" i="91"/>
  <c r="I45"/>
  <c r="M16" i="27"/>
  <c r="E107" i="93"/>
  <c r="I45" i="54"/>
  <c r="G17" i="92"/>
  <c r="L48" i="63"/>
  <c r="M89" i="82"/>
  <c r="L107" i="51"/>
  <c r="M11" i="19"/>
  <c r="L36" i="90"/>
  <c r="N94" i="94"/>
  <c r="F33" i="72"/>
  <c r="O19" i="86"/>
  <c r="O26" i="94"/>
  <c r="G92" i="50"/>
  <c r="M80" i="60"/>
  <c r="L50" i="82"/>
  <c r="O86" i="60"/>
  <c r="J88" i="43"/>
  <c r="E51" i="19"/>
  <c r="K70" i="89"/>
  <c r="K92" i="62"/>
  <c r="F68" i="94"/>
  <c r="O77" i="39"/>
  <c r="F107" i="30"/>
  <c r="E19" i="74"/>
  <c r="I95" i="44"/>
  <c r="I51"/>
  <c r="M74" i="30"/>
  <c r="M25" i="64"/>
  <c r="O67" i="45"/>
  <c r="I103" i="60"/>
  <c r="O18" i="93"/>
  <c r="N82" i="65"/>
  <c r="G104" i="25"/>
  <c r="N94" i="47"/>
  <c r="I18" i="19"/>
  <c r="D70" i="46"/>
  <c r="M35" i="66"/>
  <c r="D68" i="80"/>
  <c r="H95" i="66"/>
  <c r="G47" i="75"/>
  <c r="F38" i="76"/>
  <c r="G23" i="86"/>
  <c r="F65" i="43"/>
  <c r="L100" i="82"/>
  <c r="M98" i="90"/>
  <c r="O64" i="67"/>
  <c r="J71" i="74"/>
  <c r="H43" i="64"/>
  <c r="I64" i="25"/>
  <c r="I73" i="60"/>
  <c r="F56" i="19"/>
  <c r="F101" i="35"/>
  <c r="I80" i="80"/>
  <c r="D26" i="67"/>
  <c r="K59" i="51"/>
  <c r="N39" i="66"/>
  <c r="E104" i="92"/>
  <c r="F12" i="45"/>
  <c r="E26" i="62"/>
  <c r="M22" i="72"/>
  <c r="G68" i="73"/>
  <c r="N33" i="67"/>
  <c r="F71" i="61"/>
  <c r="N100" i="43"/>
  <c r="H101" i="74"/>
  <c r="J37" i="27"/>
  <c r="E86" i="46"/>
  <c r="K73" i="49"/>
  <c r="F91" i="56"/>
  <c r="M13" i="30"/>
  <c r="L82" i="72"/>
  <c r="F106" i="43"/>
  <c r="N92" i="49"/>
  <c r="N103" i="68"/>
  <c r="E92" i="58"/>
  <c r="N41" i="89"/>
  <c r="D97" i="30"/>
  <c r="H55" i="25"/>
  <c r="N25" i="40"/>
  <c r="K33" i="90"/>
  <c r="F41" i="71"/>
  <c r="E32" i="52"/>
  <c r="G88" i="43"/>
  <c r="H34" i="62"/>
  <c r="L29" i="35"/>
  <c r="M106" i="19"/>
  <c r="E48" i="90"/>
  <c r="F52" i="38"/>
  <c r="M18" i="54"/>
  <c r="D68" i="58"/>
  <c r="J32" i="90"/>
  <c r="L59" i="65"/>
  <c r="K26" i="69"/>
  <c r="E20" i="60"/>
  <c r="J16" i="67"/>
  <c r="O25" i="34"/>
  <c r="H68" i="83"/>
  <c r="D67" i="78"/>
  <c r="H27" i="27"/>
  <c r="N64" i="86"/>
  <c r="H86" i="77"/>
  <c r="L7" i="68"/>
  <c r="F98" i="75"/>
  <c r="O65" i="78"/>
  <c r="F25" i="32"/>
  <c r="I89" i="85"/>
  <c r="H17" i="19"/>
  <c r="E37" i="54"/>
  <c r="N5" i="73"/>
  <c r="M35" i="74"/>
  <c r="L51" i="39"/>
  <c r="H86" i="38"/>
  <c r="I14" i="84"/>
  <c r="G101" i="59"/>
  <c r="H74" i="30"/>
  <c r="M107" i="53"/>
  <c r="J36" i="41"/>
  <c r="H19" i="75"/>
  <c r="N7" i="62"/>
  <c r="E6" i="65"/>
  <c r="E89" i="76"/>
  <c r="D19" i="53"/>
  <c r="J48" i="84"/>
  <c r="E35" i="45"/>
  <c r="L83" i="26"/>
  <c r="D64" i="66"/>
  <c r="H55" i="30"/>
  <c r="I71" i="72"/>
  <c r="K5" i="46"/>
  <c r="I53" i="33"/>
  <c r="G8" i="92"/>
  <c r="J68" i="59"/>
  <c r="L55" i="57"/>
  <c r="E50" i="54"/>
  <c r="I26" i="72"/>
  <c r="E94" i="76"/>
  <c r="I10" i="60"/>
  <c r="H62" i="70"/>
  <c r="I82" i="38"/>
  <c r="J61" i="93"/>
  <c r="H12" i="91"/>
  <c r="F9" i="79"/>
  <c r="F104" i="46"/>
  <c r="O15" i="57"/>
  <c r="G67" i="61"/>
  <c r="H101" i="89"/>
  <c r="N24" i="73"/>
  <c r="G62" i="92"/>
  <c r="G27" i="52"/>
  <c r="F100" i="72"/>
  <c r="G94" i="56"/>
  <c r="G83" i="47"/>
  <c r="G9" i="76"/>
  <c r="E21" i="57"/>
  <c r="H98" i="19"/>
  <c r="G70" i="84"/>
  <c r="I22" i="78"/>
  <c r="K88" i="47"/>
  <c r="D12" i="70"/>
  <c r="J83" i="32"/>
  <c r="J82" i="27"/>
  <c r="M45" i="44"/>
  <c r="F49" i="27"/>
  <c r="I16" i="38"/>
  <c r="I20" i="33"/>
  <c r="H33" i="64"/>
  <c r="J17"/>
  <c r="F92" i="65"/>
  <c r="G107" i="74"/>
  <c r="D82" i="90"/>
  <c r="E67" i="64"/>
  <c r="E47" i="40"/>
  <c r="E18" i="89"/>
  <c r="K82" i="93"/>
  <c r="J23" i="41"/>
  <c r="L86" i="76"/>
  <c r="E97" i="73"/>
  <c r="I18" i="29"/>
  <c r="M52" i="43"/>
  <c r="L35" i="25"/>
  <c r="I92" i="41"/>
  <c r="G11" i="45"/>
  <c r="M23" i="19"/>
  <c r="E12" i="84"/>
  <c r="L30" i="57"/>
  <c r="E18" i="65"/>
  <c r="J32" i="36"/>
  <c r="H46" i="91"/>
  <c r="I25" i="65"/>
  <c r="K9" i="90"/>
  <c r="M45" i="66"/>
  <c r="G19" i="59"/>
  <c r="M26" i="82"/>
  <c r="L21" i="54"/>
  <c r="K80" i="34"/>
  <c r="D31" i="56"/>
  <c r="H35" i="79"/>
  <c r="D76" i="41"/>
  <c r="M24" i="46"/>
  <c r="H57" i="53"/>
  <c r="G9" i="19"/>
  <c r="O47" i="76"/>
  <c r="K82" i="89"/>
  <c r="K13" i="41"/>
  <c r="J4" i="51"/>
  <c r="J8" i="79"/>
  <c r="F6" i="36"/>
  <c r="M6" i="62"/>
  <c r="I45" i="93"/>
  <c r="G83" i="72"/>
  <c r="K89" i="51"/>
  <c r="J45" i="90"/>
  <c r="M29" i="61"/>
  <c r="D32" i="48"/>
  <c r="N103" i="82"/>
  <c r="O36" i="57"/>
  <c r="F5" i="32"/>
  <c r="M47" i="41"/>
  <c r="F79" i="47"/>
  <c r="N76" i="39"/>
  <c r="M86" i="54"/>
  <c r="M14" i="63"/>
  <c r="H23" i="90"/>
  <c r="O89" i="34"/>
  <c r="F80" i="32"/>
  <c r="J24" i="86"/>
  <c r="M37" i="43"/>
  <c r="G64" i="34"/>
  <c r="K83"/>
  <c r="O101" i="83"/>
  <c r="N98" i="25"/>
  <c r="F58" i="43"/>
  <c r="M86" i="89"/>
  <c r="L50" i="25"/>
  <c r="N20" i="81"/>
  <c r="M56" i="83"/>
  <c r="J106" i="81"/>
  <c r="L74" i="77"/>
  <c r="E13" i="65"/>
  <c r="H100" i="29"/>
  <c r="H21" i="74"/>
  <c r="N20" i="48"/>
  <c r="K80" i="91"/>
  <c r="H76" i="47"/>
  <c r="D67" i="80"/>
  <c r="F51" i="56"/>
  <c r="J82" i="76"/>
  <c r="M64" i="68"/>
  <c r="F70" i="84"/>
  <c r="K39" i="61"/>
  <c r="K68" i="86"/>
  <c r="D5" i="54"/>
  <c r="D85" i="78"/>
  <c r="L77" i="87"/>
  <c r="F11" i="67"/>
  <c r="N37" i="36"/>
  <c r="N35" i="56"/>
  <c r="F25" i="63"/>
  <c r="K6" i="48"/>
  <c r="J54" i="36"/>
  <c r="H10" i="54"/>
  <c r="D27" i="35"/>
  <c r="G55" i="63"/>
  <c r="N56" i="34"/>
  <c r="M18" i="64"/>
  <c r="G26" i="86"/>
  <c r="G97" i="89"/>
  <c r="G34" i="45"/>
  <c r="H7" i="86"/>
  <c r="N51" i="81"/>
  <c r="H62" i="59"/>
  <c r="N47" i="35"/>
  <c r="I55" i="53"/>
  <c r="J7" i="70"/>
  <c r="I25" i="50"/>
  <c r="O42" i="35"/>
  <c r="N17" i="89"/>
  <c r="H68" i="61"/>
  <c r="D13" i="32"/>
  <c r="K62" i="76"/>
  <c r="L4" i="34"/>
  <c r="N79" i="54"/>
  <c r="D49" i="62"/>
  <c r="D103" i="56"/>
  <c r="K91" i="36"/>
  <c r="E92" i="56"/>
  <c r="F31" i="84"/>
  <c r="L33" i="67"/>
  <c r="M103" i="47"/>
  <c r="F27" i="36"/>
  <c r="H15" i="71"/>
  <c r="F5" i="93"/>
  <c r="E44" i="30"/>
  <c r="G26" i="59"/>
  <c r="G67" i="42"/>
  <c r="N74" i="93"/>
  <c r="D46" i="75"/>
  <c r="D11" i="30"/>
  <c r="M5" i="48"/>
  <c r="D48" i="82"/>
  <c r="L34" i="63"/>
  <c r="I80" i="48"/>
  <c r="L12" i="73"/>
  <c r="N44" i="33"/>
  <c r="J11" i="44"/>
  <c r="L54" i="36"/>
  <c r="H21" i="73"/>
  <c r="E70" i="19"/>
  <c r="M29" i="63"/>
  <c r="O103" i="92"/>
  <c r="K27" i="25"/>
  <c r="L85" i="80"/>
  <c r="E30" i="39"/>
  <c r="H36" i="65"/>
  <c r="I86" i="62"/>
  <c r="E104" i="86"/>
  <c r="G61" i="78"/>
  <c r="M23" i="55"/>
  <c r="G23" i="72"/>
  <c r="E38" i="53"/>
  <c r="K62" i="73"/>
  <c r="K33" i="30"/>
  <c r="F24" i="63"/>
  <c r="D80" i="25"/>
  <c r="F5" i="40"/>
  <c r="O24" i="78"/>
  <c r="L70" i="71"/>
  <c r="O45" i="76"/>
  <c r="M79" i="38"/>
  <c r="O20" i="84"/>
  <c r="D94" i="33"/>
  <c r="G8" i="42"/>
  <c r="E54" i="84"/>
  <c r="N28" i="44"/>
  <c r="G47" i="84"/>
  <c r="F45" i="64"/>
  <c r="G12" i="75"/>
  <c r="G83" i="57"/>
  <c r="M9" i="19"/>
  <c r="O101" i="53"/>
  <c r="M5" i="83"/>
  <c r="M19" i="77"/>
  <c r="H33" i="56"/>
  <c r="O34" i="55"/>
  <c r="N29" i="73"/>
  <c r="E48" i="42"/>
  <c r="L36" i="89"/>
  <c r="G80" i="34"/>
  <c r="F33" i="29"/>
  <c r="J91" i="78"/>
  <c r="F39" i="32"/>
  <c r="E92" i="60"/>
  <c r="O50" i="53"/>
  <c r="I71" i="63"/>
  <c r="J82" i="54"/>
  <c r="I70" i="40"/>
  <c r="O92" i="62"/>
  <c r="O48" i="89"/>
  <c r="J50" i="93"/>
  <c r="D23" i="90"/>
  <c r="N70" i="19"/>
  <c r="E101" i="53"/>
  <c r="D64" i="90"/>
  <c r="E7" i="93"/>
  <c r="N54" i="92"/>
  <c r="O71" i="57"/>
  <c r="K88" i="60"/>
  <c r="G33" i="34"/>
  <c r="I101" i="66"/>
  <c r="H47" i="72"/>
  <c r="O106" i="59"/>
  <c r="H41" i="76"/>
  <c r="N31" i="63"/>
  <c r="O49" i="61"/>
  <c r="K64" i="43"/>
  <c r="H36" i="25"/>
  <c r="G56" i="19"/>
  <c r="F14" i="91"/>
  <c r="E24" i="81"/>
  <c r="O11" i="61"/>
  <c r="I47" i="69"/>
  <c r="D95" i="62"/>
  <c r="F47" i="53"/>
  <c r="G45" i="43"/>
  <c r="H68" i="74"/>
  <c r="K61" i="44"/>
  <c r="I24" i="63"/>
  <c r="D40" i="55"/>
  <c r="F35" i="19"/>
  <c r="N103" i="70"/>
  <c r="F18" i="40"/>
  <c r="F21" i="54"/>
  <c r="K98" i="48"/>
  <c r="D101" i="84"/>
  <c r="E65" i="67"/>
  <c r="O42" i="57"/>
  <c r="E86" i="82"/>
  <c r="G95" i="72"/>
  <c r="H89" i="51"/>
  <c r="N94" i="70"/>
  <c r="L95" i="78"/>
  <c r="L16" i="54"/>
  <c r="M71" i="84"/>
  <c r="O24" i="53"/>
  <c r="O59" i="59"/>
  <c r="K58" i="43"/>
  <c r="E9" i="69"/>
  <c r="M20" i="76"/>
  <c r="F11" i="89"/>
  <c r="K73" i="86"/>
  <c r="O59" i="26"/>
  <c r="F73" i="75"/>
  <c r="K20" i="76"/>
  <c r="M52" i="47"/>
  <c r="E53" i="61"/>
  <c r="E59" i="62"/>
  <c r="J43" i="80"/>
  <c r="L77" i="51"/>
  <c r="H61" i="61"/>
  <c r="L82" i="74"/>
  <c r="J64" i="68"/>
  <c r="E6" i="86"/>
  <c r="G92" i="19"/>
  <c r="O71" i="87"/>
  <c r="E32" i="60"/>
  <c r="O61" i="65"/>
  <c r="F36"/>
  <c r="L16" i="46"/>
  <c r="J24" i="90"/>
  <c r="G45" i="53"/>
  <c r="K24" i="36"/>
  <c r="J30" i="91"/>
  <c r="G50" i="48"/>
  <c r="F71" i="79"/>
  <c r="M11" i="76"/>
  <c r="K35" i="92"/>
  <c r="H20" i="73"/>
  <c r="L27" i="49"/>
  <c r="F12" i="71"/>
  <c r="N58" i="26"/>
  <c r="H56" i="33"/>
  <c r="E19" i="53"/>
  <c r="O54" i="51"/>
  <c r="M100" i="71"/>
  <c r="K14" i="61"/>
  <c r="E7" i="52"/>
  <c r="G79" i="92"/>
  <c r="M34" i="47"/>
  <c r="N25" i="64"/>
  <c r="E47" i="45"/>
  <c r="J9" i="34"/>
  <c r="N76" i="65"/>
  <c r="D54" i="94"/>
  <c r="F106" i="49"/>
  <c r="I47" i="66"/>
  <c r="D35" i="77"/>
  <c r="O64" i="19"/>
  <c r="G10" i="66"/>
  <c r="E29" i="83"/>
  <c r="O33" i="40"/>
  <c r="G64" i="73"/>
  <c r="E6" i="45"/>
  <c r="J34" i="53"/>
  <c r="E77" i="89"/>
  <c r="H55" i="66"/>
  <c r="G55" i="58"/>
  <c r="G43" i="48"/>
  <c r="J62" i="29"/>
  <c r="G46" i="69"/>
  <c r="E68" i="35"/>
  <c r="G56" i="76"/>
  <c r="H30" i="53"/>
  <c r="F25" i="91"/>
  <c r="J77" i="58"/>
  <c r="G62" i="52"/>
  <c r="G94" i="70"/>
  <c r="E88" i="86"/>
  <c r="J79" i="43"/>
  <c r="O12" i="34"/>
  <c r="M32" i="38"/>
  <c r="D53" i="73"/>
  <c r="H16" i="87"/>
  <c r="N80" i="82"/>
  <c r="H14" i="71"/>
  <c r="J94" i="38"/>
  <c r="O51" i="70"/>
  <c r="J51" i="61"/>
  <c r="F33" i="80"/>
  <c r="M28" i="72"/>
  <c r="M89" i="61"/>
  <c r="N85" i="72"/>
  <c r="N43" i="94"/>
  <c r="E55" i="48"/>
  <c r="L30" i="54"/>
  <c r="L92" i="83"/>
  <c r="H35" i="72"/>
  <c r="I48" i="45"/>
  <c r="E34" i="51"/>
  <c r="H44" i="27"/>
  <c r="N73" i="41"/>
  <c r="O42" i="56"/>
  <c r="G58" i="40"/>
  <c r="D77" i="81"/>
  <c r="F50" i="79"/>
  <c r="J103" i="55"/>
  <c r="L55" i="39"/>
  <c r="G101" i="76"/>
  <c r="E36" i="61"/>
  <c r="K36" i="30"/>
  <c r="F88" i="49"/>
  <c r="H51" i="40"/>
  <c r="F33" i="48"/>
  <c r="M21" i="62"/>
  <c r="D74" i="50"/>
  <c r="L61" i="44"/>
  <c r="M104" i="83"/>
  <c r="F54" i="79"/>
  <c r="E13" i="63"/>
  <c r="K30" i="66"/>
  <c r="K19" i="63"/>
  <c r="N73" i="25"/>
  <c r="D26" i="35"/>
  <c r="M13" i="19"/>
  <c r="K65" i="89"/>
  <c r="D53" i="63"/>
  <c r="M8" i="93"/>
  <c r="N79" i="47"/>
  <c r="K104" i="57"/>
  <c r="D62" i="81"/>
  <c r="G91" i="65"/>
  <c r="J49" i="49"/>
  <c r="K85" i="48"/>
  <c r="K55" i="87"/>
  <c r="M32" i="82"/>
  <c r="F25" i="57"/>
  <c r="M74" i="89"/>
  <c r="D20" i="45"/>
  <c r="N101" i="33"/>
  <c r="E51" i="57"/>
  <c r="H85" i="77"/>
  <c r="H15" i="89"/>
  <c r="H46" i="68"/>
  <c r="J82" i="74"/>
  <c r="L79" i="83"/>
  <c r="L27" i="43"/>
  <c r="O83" i="76"/>
  <c r="M23" i="68"/>
  <c r="N51" i="84"/>
  <c r="I79" i="48"/>
  <c r="G8" i="34"/>
  <c r="H43" i="82"/>
  <c r="M27" i="90"/>
  <c r="L47"/>
  <c r="D17" i="54"/>
  <c r="L19" i="64"/>
  <c r="I52" i="67"/>
  <c r="O6" i="87"/>
  <c r="M17" i="61"/>
  <c r="E50" i="57"/>
  <c r="O36" i="83"/>
  <c r="H47" i="89"/>
  <c r="I22" i="36"/>
  <c r="L26" i="67"/>
  <c r="K62" i="72"/>
  <c r="D34" i="85"/>
  <c r="I38" i="68"/>
  <c r="H97" i="46"/>
  <c r="O39" i="72"/>
  <c r="D74" i="78"/>
  <c r="G107" i="47"/>
  <c r="E53" i="85"/>
  <c r="K32" i="61"/>
  <c r="E59" i="94"/>
  <c r="M73" i="64"/>
  <c r="K76" i="58"/>
  <c r="H11" i="34"/>
  <c r="E45" i="67"/>
  <c r="K40" i="48"/>
  <c r="M28" i="63"/>
  <c r="G49"/>
  <c r="H24" i="61"/>
  <c r="K74" i="78"/>
  <c r="G45" i="52"/>
  <c r="G37" i="87"/>
  <c r="M49" i="81"/>
  <c r="D103" i="66"/>
  <c r="D55" i="54"/>
  <c r="F50" i="26"/>
  <c r="E70" i="83"/>
  <c r="K45" i="61"/>
  <c r="J57" i="34"/>
  <c r="D34" i="43"/>
  <c r="L20" i="66"/>
  <c r="L8" i="46"/>
  <c r="J77" i="43"/>
  <c r="I9" i="44"/>
  <c r="H38" i="64"/>
  <c r="D39" i="82"/>
  <c r="K98" i="89"/>
  <c r="E27" i="50"/>
  <c r="K7" i="43"/>
  <c r="N21" i="65"/>
  <c r="E104" i="54"/>
  <c r="H41" i="32"/>
  <c r="E100" i="35"/>
  <c r="E104" i="68"/>
  <c r="E55" i="89"/>
  <c r="M70" i="94"/>
  <c r="H79" i="79"/>
  <c r="O41" i="27"/>
  <c r="L13" i="82"/>
  <c r="H17" i="36"/>
  <c r="N19" i="67"/>
  <c r="K44" i="35"/>
  <c r="D17" i="65"/>
  <c r="N24" i="59"/>
  <c r="J16" i="77"/>
  <c r="O34" i="68"/>
  <c r="J58" i="32"/>
  <c r="D16" i="72"/>
  <c r="H59" i="74"/>
  <c r="E91" i="54"/>
  <c r="K30" i="64"/>
  <c r="E28" i="51"/>
  <c r="D44" i="93"/>
  <c r="N35" i="41"/>
  <c r="L16" i="76"/>
  <c r="N85" i="29"/>
  <c r="G9" i="54"/>
  <c r="M24" i="45"/>
  <c r="I104" i="73"/>
  <c r="H13" i="29"/>
  <c r="G62" i="44"/>
  <c r="F53" i="29"/>
  <c r="E71" i="45"/>
  <c r="H86" i="19"/>
  <c r="J62" i="83"/>
  <c r="D85" i="86"/>
  <c r="J98" i="30"/>
  <c r="N56" i="93"/>
  <c r="L44" i="60"/>
  <c r="K29" i="61"/>
  <c r="I104" i="92"/>
  <c r="N47" i="89"/>
  <c r="O50" i="69"/>
  <c r="H23" i="43"/>
  <c r="I57" i="90"/>
  <c r="E54" i="36"/>
  <c r="E73" i="49"/>
  <c r="J44" i="19"/>
  <c r="D80" i="74"/>
  <c r="N88" i="66"/>
  <c r="F73" i="42"/>
  <c r="F98" i="93"/>
  <c r="J101" i="68"/>
  <c r="J88" i="33"/>
  <c r="G106" i="67"/>
  <c r="G104" i="84"/>
  <c r="J59" i="62"/>
  <c r="D68" i="93"/>
  <c r="D73" i="55"/>
  <c r="D83" i="81"/>
  <c r="I86" i="30"/>
  <c r="H19" i="85"/>
  <c r="H14" i="56"/>
  <c r="J33" i="80"/>
  <c r="J38" i="93"/>
  <c r="O53" i="51"/>
  <c r="F51" i="36"/>
  <c r="E28" i="25"/>
  <c r="K71" i="48"/>
  <c r="D95" i="26"/>
  <c r="O98" i="77"/>
  <c r="H30" i="26"/>
  <c r="E91" i="94"/>
  <c r="E100" i="78"/>
  <c r="I51" i="34"/>
  <c r="D76" i="51"/>
  <c r="N41" i="77"/>
  <c r="O95" i="78"/>
  <c r="K25" i="91"/>
  <c r="O22" i="83"/>
  <c r="N21" i="67"/>
  <c r="N26" i="77"/>
  <c r="H74" i="65"/>
  <c r="E71" i="59"/>
  <c r="M82" i="32"/>
  <c r="H31" i="94"/>
  <c r="G71" i="26"/>
  <c r="M19" i="60"/>
  <c r="M17" i="81"/>
  <c r="K82" i="70"/>
  <c r="M39" i="82"/>
  <c r="J25" i="26"/>
  <c r="I25" i="49"/>
  <c r="F100" i="48"/>
  <c r="N49" i="54"/>
  <c r="D77" i="90"/>
  <c r="E92" i="92"/>
  <c r="E35" i="70"/>
  <c r="E91" i="33"/>
  <c r="I15" i="27"/>
  <c r="G30" i="47"/>
  <c r="I74" i="45"/>
  <c r="M77" i="92"/>
  <c r="K24" i="80"/>
  <c r="E107" i="50"/>
  <c r="H58" i="51"/>
  <c r="N38" i="89"/>
  <c r="L33" i="72"/>
  <c r="K98" i="29"/>
  <c r="O80" i="90"/>
  <c r="H97" i="33"/>
  <c r="M56" i="38"/>
  <c r="G58" i="84"/>
  <c r="K9" i="35"/>
  <c r="K73" i="75"/>
  <c r="G8" i="90"/>
  <c r="F19" i="60"/>
  <c r="F7" i="94"/>
  <c r="F106" i="29"/>
  <c r="M6" i="27"/>
  <c r="H31" i="46"/>
  <c r="F101" i="68"/>
  <c r="H91" i="80"/>
  <c r="O98" i="35"/>
  <c r="E49" i="76"/>
  <c r="N21" i="29"/>
  <c r="I94" i="93"/>
  <c r="N28" i="62"/>
  <c r="F30" i="94"/>
  <c r="K106" i="93"/>
  <c r="J9" i="54"/>
  <c r="E56" i="71"/>
  <c r="F77" i="32"/>
  <c r="D55" i="34"/>
  <c r="F47" i="87"/>
  <c r="K13" i="81"/>
  <c r="O43" i="25"/>
  <c r="L39" i="45"/>
  <c r="L46" i="33"/>
  <c r="K71" i="77"/>
  <c r="L92" i="57"/>
  <c r="O70" i="43"/>
  <c r="F22" i="38"/>
  <c r="J24" i="72"/>
  <c r="N73" i="66"/>
  <c r="F57" i="67"/>
  <c r="E10" i="19"/>
  <c r="H38" i="48"/>
  <c r="O59" i="36"/>
  <c r="G22" i="92"/>
  <c r="O95" i="63"/>
  <c r="G64" i="29"/>
  <c r="E26" i="87"/>
  <c r="F94" i="92"/>
  <c r="L24" i="63"/>
  <c r="D58" i="80"/>
  <c r="F30" i="26"/>
  <c r="I103" i="80"/>
  <c r="L51" i="43"/>
  <c r="L86" i="73"/>
  <c r="K100" i="41"/>
  <c r="M97"/>
  <c r="H53" i="49"/>
  <c r="N8" i="39"/>
  <c r="J85" i="81"/>
  <c r="N8" i="86"/>
  <c r="O25" i="44"/>
  <c r="O100" i="87"/>
  <c r="F70" i="79"/>
  <c r="L65" i="68"/>
  <c r="D19" i="51"/>
  <c r="M30" i="68"/>
  <c r="F77" i="76"/>
  <c r="J38" i="39"/>
  <c r="N106" i="80"/>
  <c r="I44" i="70"/>
  <c r="M73" i="75"/>
  <c r="F45" i="59"/>
  <c r="M34" i="57"/>
  <c r="I25" i="92"/>
  <c r="E32" i="61"/>
  <c r="D16" i="49"/>
  <c r="I13" i="64"/>
  <c r="D8" i="72"/>
  <c r="F85" i="63"/>
  <c r="I85" i="61"/>
  <c r="F9" i="70"/>
  <c r="I95" i="45"/>
  <c r="G18" i="90"/>
  <c r="I19"/>
  <c r="F12" i="57"/>
  <c r="E45" i="72"/>
  <c r="K62" i="45"/>
  <c r="H22" i="82"/>
  <c r="I8" i="93"/>
  <c r="O5" i="66"/>
  <c r="K30" i="74"/>
  <c r="O65" i="90"/>
  <c r="K91" i="59"/>
  <c r="M67" i="55"/>
  <c r="D98" i="25"/>
  <c r="E79" i="62"/>
  <c r="N74" i="35"/>
  <c r="D34" i="55"/>
  <c r="H68" i="81"/>
  <c r="K20" i="61"/>
  <c r="F83" i="72"/>
  <c r="D74" i="39"/>
  <c r="D89" i="91"/>
  <c r="M19" i="74"/>
  <c r="M100" i="66"/>
  <c r="L7" i="25"/>
  <c r="D19" i="94"/>
  <c r="I83" i="53"/>
  <c r="H104" i="25"/>
  <c r="F13" i="61"/>
  <c r="L31" i="93"/>
  <c r="K106" i="82"/>
  <c r="K54" i="65"/>
  <c r="J58" i="58"/>
  <c r="N11" i="74"/>
  <c r="N50" i="80"/>
  <c r="G91" i="62"/>
  <c r="I46" i="94"/>
  <c r="M51" i="25"/>
  <c r="K82" i="71"/>
  <c r="E13" i="52"/>
  <c r="L26" i="80"/>
  <c r="I7" i="53"/>
  <c r="H41" i="78"/>
  <c r="L76" i="58"/>
  <c r="N23" i="90"/>
  <c r="D70" i="70"/>
  <c r="K44" i="56"/>
  <c r="F107" i="43"/>
  <c r="J71" i="81"/>
  <c r="H9" i="35"/>
  <c r="O37" i="49"/>
  <c r="E68" i="66"/>
  <c r="O21" i="74"/>
  <c r="G106" i="82"/>
  <c r="E32" i="92"/>
  <c r="I73" i="84"/>
  <c r="N31" i="26"/>
  <c r="M30" i="84"/>
  <c r="O92" i="39"/>
  <c r="N71" i="68"/>
  <c r="D98" i="75"/>
  <c r="O4" i="35"/>
  <c r="G12"/>
  <c r="G14" i="58"/>
  <c r="H18" i="73"/>
  <c r="I79" i="19"/>
  <c r="E73" i="62"/>
  <c r="M80" i="25"/>
  <c r="H14" i="81"/>
  <c r="I71" i="78"/>
  <c r="O33" i="62"/>
  <c r="I28" i="81"/>
  <c r="E28" i="32"/>
  <c r="H83" i="90"/>
  <c r="J73" i="81"/>
  <c r="D54" i="50"/>
  <c r="M101" i="29"/>
  <c r="I30" i="67"/>
  <c r="H32" i="85"/>
  <c r="L58" i="75"/>
  <c r="L62" i="36"/>
  <c r="O89" i="70"/>
  <c r="E28" i="82"/>
  <c r="D45" i="65"/>
  <c r="G37" i="62"/>
  <c r="F46" i="71"/>
  <c r="G83" i="36"/>
  <c r="L57" i="76"/>
  <c r="J33" i="40"/>
  <c r="J52" i="27"/>
  <c r="O77" i="67"/>
  <c r="E38" i="35"/>
  <c r="J73" i="38"/>
  <c r="N14" i="64"/>
  <c r="K82" i="48"/>
  <c r="D57" i="33"/>
  <c r="M65" i="32"/>
  <c r="H56" i="80"/>
  <c r="I83" i="45"/>
  <c r="K37" i="81"/>
  <c r="E71" i="80"/>
  <c r="F20" i="74"/>
  <c r="L9" i="65"/>
  <c r="H33" i="72"/>
  <c r="K67" i="49"/>
  <c r="K106" i="25"/>
  <c r="I6" i="84"/>
  <c r="H33" i="53"/>
  <c r="D18" i="46"/>
  <c r="K107" i="80"/>
  <c r="I8" i="60"/>
  <c r="M45" i="94"/>
  <c r="E43" i="45"/>
  <c r="E43" i="94"/>
  <c r="H32" i="38"/>
  <c r="D19" i="78"/>
  <c r="K50" i="53"/>
  <c r="M41" i="83"/>
  <c r="M17" i="44"/>
  <c r="I29" i="41"/>
  <c r="F59" i="46"/>
  <c r="E8" i="93"/>
  <c r="M36" i="33"/>
  <c r="O4"/>
  <c r="M89" i="55"/>
  <c r="D42" i="43"/>
  <c r="I41" i="66"/>
  <c r="H19" i="63"/>
  <c r="E65" i="76"/>
  <c r="D88" i="69"/>
  <c r="K101" i="80"/>
  <c r="E44" i="94"/>
  <c r="K40" i="93"/>
  <c r="H50" i="66"/>
  <c r="E104" i="67"/>
  <c r="F21" i="58"/>
  <c r="L104" i="25"/>
  <c r="K104" i="40"/>
  <c r="L44" i="72"/>
  <c r="N31" i="93"/>
  <c r="G53" i="60"/>
  <c r="I18" i="67"/>
  <c r="E39" i="36"/>
  <c r="E52" i="82"/>
  <c r="G38" i="91"/>
  <c r="N15" i="33"/>
  <c r="O5" i="41"/>
  <c r="M71" i="27"/>
  <c r="M28"/>
  <c r="M34" i="44"/>
  <c r="O39" i="51"/>
  <c r="G45" i="19"/>
  <c r="I89" i="80"/>
  <c r="G82" i="59"/>
  <c r="M16" i="47"/>
  <c r="O54" i="59"/>
  <c r="G91" i="84"/>
  <c r="H20" i="85"/>
  <c r="H71" i="65"/>
  <c r="D44" i="89"/>
  <c r="H103" i="67"/>
  <c r="N24" i="72"/>
  <c r="G21" i="71"/>
  <c r="E94" i="45"/>
  <c r="L104" i="92"/>
  <c r="E19" i="64"/>
  <c r="G55" i="27"/>
  <c r="F19" i="19"/>
  <c r="F80" i="81"/>
  <c r="G22" i="27"/>
  <c r="I6" i="63"/>
  <c r="H73" i="40"/>
  <c r="D6" i="85"/>
  <c r="F92" i="69"/>
  <c r="L57" i="46"/>
  <c r="E68" i="67"/>
  <c r="J21" i="60"/>
  <c r="K56" i="54"/>
  <c r="F103" i="40"/>
  <c r="F15" i="48"/>
  <c r="I39" i="86"/>
  <c r="D103" i="76"/>
  <c r="H107" i="86"/>
  <c r="O48" i="57"/>
  <c r="K29" i="91"/>
  <c r="N55" i="67"/>
  <c r="N34" i="46"/>
  <c r="D35" i="43"/>
  <c r="N103" i="80"/>
  <c r="D9" i="53"/>
  <c r="E6" i="70"/>
  <c r="G88" i="77"/>
  <c r="O94" i="86"/>
  <c r="D58" i="81"/>
  <c r="L41" i="57"/>
  <c r="I48" i="92"/>
  <c r="G61" i="69"/>
  <c r="E49" i="35"/>
  <c r="N35" i="46"/>
  <c r="E50" i="47"/>
  <c r="G59" i="52"/>
  <c r="O22" i="29"/>
  <c r="J17" i="36"/>
  <c r="K37" i="67"/>
  <c r="I73" i="38"/>
  <c r="G45"/>
  <c r="F94" i="61"/>
  <c r="O11" i="77"/>
  <c r="L57" i="78"/>
  <c r="M21" i="55"/>
  <c r="E59" i="69"/>
  <c r="L53" i="78"/>
  <c r="O7" i="82"/>
  <c r="F11" i="30"/>
  <c r="J65" i="62"/>
  <c r="F54" i="52"/>
  <c r="O13" i="63"/>
  <c r="H17" i="66"/>
  <c r="G76" i="75"/>
  <c r="I64" i="55"/>
  <c r="N61" i="49"/>
  <c r="L52" i="34"/>
  <c r="J88" i="78"/>
  <c r="K30" i="49"/>
  <c r="D31" i="80"/>
  <c r="O70" i="32"/>
  <c r="O56" i="81"/>
  <c r="K7" i="48"/>
  <c r="M55" i="74"/>
  <c r="G106" i="53"/>
  <c r="F24" i="30"/>
  <c r="K9" i="53"/>
  <c r="K10" i="83"/>
  <c r="N31" i="44"/>
  <c r="D53" i="66"/>
  <c r="K91" i="51"/>
  <c r="N34" i="69"/>
  <c r="N53" i="74"/>
  <c r="L89" i="30"/>
  <c r="H25" i="62"/>
  <c r="I97" i="56"/>
  <c r="N83" i="51"/>
  <c r="N31" i="48"/>
  <c r="K58" i="73"/>
  <c r="F15" i="54"/>
  <c r="K6" i="84"/>
  <c r="H35" i="92"/>
  <c r="K25" i="43"/>
  <c r="H14" i="62"/>
  <c r="O55" i="73"/>
  <c r="H58" i="85"/>
  <c r="M94" i="62"/>
  <c r="K37" i="51"/>
  <c r="D48" i="30"/>
  <c r="O62" i="72"/>
  <c r="L22" i="74"/>
  <c r="E51" i="43"/>
  <c r="J85" i="71"/>
  <c r="M58" i="55"/>
  <c r="H97" i="49"/>
  <c r="F31" i="86"/>
  <c r="E10" i="59"/>
  <c r="G79" i="36"/>
  <c r="L97" i="54"/>
  <c r="G76" i="44"/>
  <c r="L52" i="60"/>
  <c r="O82" i="53"/>
  <c r="D68" i="34"/>
  <c r="L74" i="53"/>
  <c r="I104" i="32"/>
  <c r="J57" i="48"/>
  <c r="I41"/>
  <c r="L42"/>
  <c r="I39" i="94"/>
  <c r="E23" i="46"/>
  <c r="L88" i="55"/>
  <c r="N10" i="81"/>
  <c r="N83" i="65"/>
  <c r="K26" i="84"/>
  <c r="I37" i="48"/>
  <c r="L12" i="69"/>
  <c r="L39" i="67"/>
  <c r="D31" i="25"/>
  <c r="M16" i="49"/>
  <c r="I82" i="27"/>
  <c r="H56" i="90"/>
  <c r="H26" i="52"/>
  <c r="K97" i="44"/>
  <c r="M67" i="84"/>
  <c r="D43" i="30"/>
  <c r="D49" i="52"/>
  <c r="E55" i="77"/>
  <c r="E44" i="52"/>
  <c r="E27" i="90"/>
  <c r="G65" i="59"/>
  <c r="M88" i="68"/>
  <c r="M9" i="38"/>
  <c r="H58" i="52"/>
  <c r="D43" i="81"/>
  <c r="D95" i="39"/>
  <c r="N19" i="60"/>
  <c r="I38" i="43"/>
  <c r="F26" i="72"/>
  <c r="G8" i="38"/>
  <c r="H13" i="77"/>
  <c r="I80" i="44"/>
  <c r="F28" i="74"/>
  <c r="D49" i="35"/>
  <c r="M34" i="39"/>
  <c r="I49" i="27"/>
  <c r="M10" i="44"/>
  <c r="D50" i="42"/>
  <c r="F35" i="52"/>
  <c r="E38" i="69"/>
  <c r="H19" i="77"/>
  <c r="M31" i="61"/>
  <c r="M100" i="68"/>
  <c r="M24" i="72"/>
  <c r="H18" i="69"/>
  <c r="I4" i="85"/>
  <c r="E27" i="73"/>
  <c r="M44" i="35"/>
  <c r="K94" i="80"/>
  <c r="L15" i="72"/>
  <c r="N30" i="27"/>
  <c r="D97" i="86"/>
  <c r="M5" i="65"/>
  <c r="H4" i="40"/>
  <c r="G21" i="85"/>
  <c r="J13" i="89"/>
  <c r="J70" i="83"/>
  <c r="I31" i="74"/>
  <c r="K39" i="36"/>
  <c r="K104" i="55"/>
  <c r="H15" i="52"/>
  <c r="J70" i="43"/>
  <c r="H64" i="89"/>
  <c r="K38" i="66"/>
  <c r="E86" i="85"/>
  <c r="J89" i="47"/>
  <c r="M42" i="83"/>
  <c r="E47" i="25"/>
  <c r="G22" i="86"/>
  <c r="D18" i="43"/>
  <c r="H68" i="48"/>
  <c r="K30" i="94"/>
  <c r="F40" i="58"/>
  <c r="N5" i="40"/>
  <c r="E70" i="51"/>
  <c r="O68" i="29"/>
  <c r="E8" i="67"/>
  <c r="H97" i="38"/>
  <c r="M34" i="93"/>
  <c r="L83" i="90"/>
  <c r="L28" i="62"/>
  <c r="D5" i="82"/>
  <c r="I27" i="92"/>
  <c r="J31" i="66"/>
  <c r="J16" i="75"/>
  <c r="D79"/>
  <c r="O107" i="87"/>
  <c r="I79" i="74"/>
  <c r="L88" i="38"/>
  <c r="M74" i="86"/>
  <c r="O7" i="68"/>
  <c r="I31" i="40"/>
  <c r="E95" i="35"/>
  <c r="D71" i="34"/>
  <c r="K19" i="40"/>
  <c r="J20" i="65"/>
  <c r="I25" i="61"/>
  <c r="M42" i="93"/>
  <c r="I97" i="60"/>
  <c r="D48" i="63"/>
  <c r="J53" i="26"/>
  <c r="M80" i="47"/>
  <c r="F9" i="68"/>
  <c r="H62" i="45"/>
  <c r="N54" i="61"/>
  <c r="O21" i="63"/>
  <c r="M37" i="19"/>
  <c r="N41" i="78"/>
  <c r="O62" i="84"/>
  <c r="F42" i="93"/>
  <c r="H40" i="89"/>
  <c r="H50" i="61"/>
  <c r="F52" i="81"/>
  <c r="E71" i="90"/>
  <c r="O58" i="49"/>
  <c r="J40" i="25"/>
  <c r="I74" i="61"/>
  <c r="O57" i="43"/>
  <c r="M44" i="44"/>
  <c r="O11" i="69"/>
  <c r="I45"/>
  <c r="K52" i="84"/>
  <c r="I64" i="64"/>
  <c r="H38" i="43"/>
  <c r="D9" i="65"/>
  <c r="H56" i="32"/>
  <c r="N19" i="71"/>
  <c r="D20" i="76"/>
  <c r="L36" i="60"/>
  <c r="F62" i="46"/>
  <c r="O73" i="19"/>
  <c r="O30" i="82"/>
  <c r="G20" i="62"/>
  <c r="L35" i="53"/>
  <c r="G17" i="90"/>
  <c r="F26" i="60"/>
  <c r="D86" i="40"/>
  <c r="E51" i="27"/>
  <c r="D77" i="75"/>
  <c r="L57" i="19"/>
  <c r="H49" i="48"/>
  <c r="I39" i="74"/>
  <c r="H67"/>
  <c r="J11"/>
  <c r="I29" i="69"/>
  <c r="M18" i="94"/>
  <c r="I14" i="49"/>
  <c r="K18" i="71"/>
  <c r="D101" i="35"/>
  <c r="G85" i="49"/>
  <c r="M32" i="67"/>
  <c r="D45" i="87"/>
  <c r="G53" i="45"/>
  <c r="I58" i="53"/>
  <c r="N58" i="78"/>
  <c r="G95" i="29"/>
  <c r="G31" i="34"/>
  <c r="I16" i="56"/>
  <c r="I34" i="86"/>
  <c r="M34" i="76"/>
  <c r="I40" i="51"/>
  <c r="E65" i="80"/>
  <c r="D35" i="50"/>
  <c r="L5" i="30"/>
  <c r="H18" i="82"/>
  <c r="L95" i="45"/>
  <c r="D97" i="55"/>
  <c r="N53" i="41"/>
  <c r="O21" i="29"/>
  <c r="K7" i="86"/>
  <c r="I51" i="74"/>
  <c r="I9" i="43"/>
  <c r="O80" i="40"/>
  <c r="N98" i="54"/>
  <c r="O98" i="65"/>
  <c r="E49" i="45"/>
  <c r="I53" i="34"/>
  <c r="D18" i="68"/>
  <c r="E15" i="52"/>
  <c r="N28" i="32"/>
  <c r="D5" i="59"/>
  <c r="J85" i="38"/>
  <c r="O94" i="82"/>
  <c r="L98" i="59"/>
  <c r="G56" i="65"/>
  <c r="K9" i="33"/>
  <c r="O32" i="57"/>
  <c r="D65" i="45"/>
  <c r="L85" i="60"/>
  <c r="O92" i="48"/>
  <c r="D9" i="91"/>
  <c r="E53" i="36"/>
  <c r="G57" i="38"/>
  <c r="I24" i="40"/>
  <c r="O14" i="68"/>
  <c r="D4" i="76"/>
  <c r="L67" i="75"/>
  <c r="G39" i="53"/>
  <c r="K103" i="26"/>
  <c r="G30" i="84"/>
  <c r="H92" i="78"/>
  <c r="L36" i="54"/>
  <c r="G51" i="26"/>
  <c r="J53" i="36"/>
  <c r="J31" i="47"/>
  <c r="F68" i="65"/>
  <c r="J71" i="58"/>
  <c r="F5" i="76"/>
  <c r="G25" i="41"/>
  <c r="D10" i="33"/>
  <c r="F44" i="27"/>
  <c r="N31" i="70"/>
  <c r="J97" i="63"/>
  <c r="N59" i="38"/>
  <c r="D5" i="70"/>
  <c r="G65" i="25"/>
  <c r="J65" i="27"/>
  <c r="I100" i="72"/>
  <c r="I67" i="79"/>
  <c r="E67" i="57"/>
  <c r="K70" i="45"/>
  <c r="J76" i="94"/>
  <c r="M18" i="92"/>
  <c r="L85" i="69"/>
  <c r="I42" i="79"/>
  <c r="L77" i="72"/>
  <c r="F19" i="53"/>
  <c r="N8" i="94"/>
  <c r="F58" i="59"/>
  <c r="L50" i="27"/>
  <c r="K92" i="46"/>
  <c r="M101" i="45"/>
  <c r="N4" i="40"/>
  <c r="G56" i="53"/>
  <c r="H32" i="70"/>
  <c r="D104" i="41"/>
  <c r="N95" i="70"/>
  <c r="E65" i="69"/>
  <c r="N6" i="86"/>
  <c r="O94" i="90"/>
  <c r="G103" i="33"/>
  <c r="K43" i="54"/>
  <c r="G50" i="39"/>
  <c r="E103" i="65"/>
  <c r="F4" i="73"/>
  <c r="M15" i="54"/>
  <c r="O85" i="73"/>
  <c r="I22" i="65"/>
  <c r="F5" i="26"/>
  <c r="I73" i="80"/>
  <c r="F24" i="60"/>
  <c r="F47" i="78"/>
  <c r="E95" i="41"/>
  <c r="E39" i="40"/>
  <c r="O65" i="19"/>
  <c r="M43" i="51"/>
  <c r="D100" i="78"/>
  <c r="F104" i="68"/>
  <c r="G88" i="79"/>
  <c r="E38" i="29"/>
  <c r="N17" i="30"/>
  <c r="G34" i="65"/>
  <c r="N22" i="93"/>
  <c r="G20" i="57"/>
  <c r="F16" i="76"/>
  <c r="M7" i="78"/>
  <c r="N11" i="94"/>
  <c r="L22" i="60"/>
  <c r="J24" i="34"/>
  <c r="M104" i="62"/>
  <c r="L43" i="90"/>
  <c r="F34" i="92"/>
  <c r="M49" i="71"/>
  <c r="J64" i="35"/>
  <c r="L86" i="51"/>
  <c r="O92" i="36"/>
  <c r="O51" i="47"/>
  <c r="I70" i="64"/>
  <c r="G64" i="39"/>
  <c r="D14" i="63"/>
  <c r="D33" i="90"/>
  <c r="K68" i="87"/>
  <c r="H10" i="48"/>
  <c r="G6" i="60"/>
  <c r="L11" i="92"/>
  <c r="I88" i="51"/>
  <c r="O64" i="74"/>
  <c r="J46"/>
  <c r="O53" i="39"/>
  <c r="E20" i="42"/>
  <c r="F42" i="49"/>
  <c r="D55" i="57"/>
  <c r="D44" i="45"/>
  <c r="I85" i="69"/>
  <c r="N86" i="73"/>
  <c r="G57" i="77"/>
  <c r="H107" i="72"/>
  <c r="I64" i="77"/>
  <c r="E70" i="59"/>
  <c r="J97" i="78"/>
  <c r="J61" i="72"/>
  <c r="D82" i="63"/>
  <c r="K47" i="80"/>
  <c r="D33" i="54"/>
  <c r="H19" i="39"/>
  <c r="J38" i="45"/>
  <c r="H29" i="38"/>
  <c r="G16" i="58"/>
  <c r="H5" i="30"/>
  <c r="G21" i="84"/>
  <c r="F57" i="36"/>
  <c r="F37" i="53"/>
  <c r="N14" i="56"/>
  <c r="F35" i="48"/>
  <c r="L34" i="87"/>
  <c r="K56" i="57"/>
  <c r="F53" i="73"/>
  <c r="H32" i="79"/>
  <c r="I33" i="30"/>
  <c r="O44" i="44"/>
  <c r="N106" i="92"/>
  <c r="L55" i="27"/>
  <c r="H104" i="71"/>
  <c r="N44" i="32"/>
  <c r="E65" i="72"/>
  <c r="G5" i="84"/>
  <c r="D6" i="62"/>
  <c r="M62" i="80"/>
  <c r="O25" i="92"/>
  <c r="L47" i="91"/>
  <c r="L67" i="55"/>
  <c r="D89" i="52"/>
  <c r="K53" i="55"/>
  <c r="H51" i="39"/>
  <c r="L44" i="32"/>
  <c r="E36" i="25"/>
  <c r="J20" i="59"/>
  <c r="K37" i="63"/>
  <c r="G106"/>
  <c r="E57" i="53"/>
  <c r="K29" i="69"/>
  <c r="E18" i="86"/>
  <c r="J68" i="81"/>
  <c r="I26" i="91"/>
  <c r="J42" i="50"/>
  <c r="G58" i="30"/>
  <c r="D95" i="59"/>
  <c r="E30" i="29"/>
  <c r="I5" i="45"/>
  <c r="M95" i="56"/>
  <c r="O101"/>
  <c r="H29" i="52"/>
  <c r="G47" i="65"/>
  <c r="G38" i="78"/>
  <c r="D92" i="63"/>
  <c r="E49" i="44"/>
  <c r="N86" i="34"/>
  <c r="I73" i="62"/>
  <c r="O74" i="74"/>
  <c r="I7" i="33"/>
  <c r="I5" i="59"/>
  <c r="D24" i="75"/>
  <c r="E82" i="30"/>
  <c r="K97" i="64"/>
  <c r="M25" i="30"/>
  <c r="F38" i="75"/>
  <c r="D62" i="74"/>
  <c r="O10" i="90"/>
  <c r="K24" i="55"/>
  <c r="J56" i="48"/>
  <c r="J68" i="45"/>
  <c r="G8" i="79"/>
  <c r="L43" i="39"/>
  <c r="N18" i="76"/>
  <c r="M4" i="61"/>
  <c r="K51" i="25"/>
  <c r="N83" i="72"/>
  <c r="N98" i="61"/>
  <c r="L94" i="78"/>
  <c r="F42" i="19"/>
  <c r="F23" i="86"/>
  <c r="E41" i="25"/>
  <c r="H68" i="32"/>
  <c r="H14" i="69"/>
  <c r="N40" i="32"/>
  <c r="D58" i="74"/>
  <c r="F28" i="40"/>
  <c r="L62" i="94"/>
  <c r="N32" i="62"/>
  <c r="G79" i="59"/>
  <c r="I101" i="76"/>
  <c r="M70" i="53"/>
  <c r="D9" i="94"/>
  <c r="N45" i="68"/>
  <c r="F91" i="39"/>
  <c r="I79" i="49"/>
  <c r="M32" i="30"/>
  <c r="L104" i="67"/>
  <c r="F44" i="68"/>
  <c r="J12" i="82"/>
  <c r="L45" i="74"/>
  <c r="O13" i="82"/>
  <c r="J22" i="74"/>
  <c r="L89" i="78"/>
  <c r="E21" i="76"/>
  <c r="F89" i="60"/>
  <c r="J9" i="36"/>
  <c r="L36" i="84"/>
  <c r="D8" i="27"/>
  <c r="L35" i="33"/>
  <c r="E36" i="62"/>
  <c r="D104" i="35"/>
  <c r="J19" i="64"/>
  <c r="M31" i="69"/>
  <c r="D16" i="32"/>
  <c r="F14" i="73"/>
  <c r="K43" i="58"/>
  <c r="O58" i="71"/>
  <c r="D22" i="91"/>
  <c r="F20" i="26"/>
  <c r="J98" i="77"/>
  <c r="F62" i="69"/>
  <c r="I77" i="75"/>
  <c r="F41" i="47"/>
  <c r="K86" i="89"/>
  <c r="D4" i="90"/>
  <c r="K5" i="70"/>
  <c r="J50" i="26"/>
  <c r="O92" i="49"/>
  <c r="D50" i="38"/>
  <c r="G95"/>
  <c r="E43" i="51"/>
  <c r="N64" i="47"/>
  <c r="N79" i="51"/>
  <c r="E21" i="79"/>
  <c r="G24" i="93"/>
  <c r="G27" i="66"/>
  <c r="G9" i="60"/>
  <c r="K16" i="74"/>
  <c r="E29" i="26"/>
  <c r="J83" i="53"/>
  <c r="M94" i="69"/>
  <c r="L53" i="39"/>
  <c r="K58" i="40"/>
  <c r="J45" i="56"/>
  <c r="H33" i="27"/>
  <c r="E48" i="44"/>
  <c r="H45" i="25"/>
  <c r="F67" i="41"/>
  <c r="L91" i="48"/>
  <c r="F9" i="34"/>
  <c r="G74" i="36"/>
  <c r="M103" i="34"/>
  <c r="N62" i="49"/>
  <c r="G24" i="79"/>
  <c r="K41" i="33"/>
  <c r="O36" i="81"/>
  <c r="E33" i="61"/>
  <c r="N20" i="38"/>
  <c r="H43" i="89"/>
  <c r="L73" i="36"/>
  <c r="J33" i="34"/>
  <c r="K58" i="94"/>
  <c r="G30" i="56"/>
  <c r="G91" i="67"/>
  <c r="N16" i="39"/>
  <c r="D70" i="68"/>
  <c r="N27" i="51"/>
  <c r="K11" i="89"/>
  <c r="L52" i="86"/>
  <c r="D68" i="73"/>
  <c r="D101" i="90"/>
  <c r="H18" i="77"/>
  <c r="L28" i="53"/>
  <c r="M77" i="89"/>
  <c r="J54" i="78"/>
  <c r="M83" i="47"/>
  <c r="I12" i="62"/>
  <c r="J25" i="33"/>
  <c r="G82" i="82"/>
  <c r="E42" i="29"/>
  <c r="M31" i="78"/>
  <c r="I33" i="68"/>
  <c r="L26" i="56"/>
  <c r="O38" i="94"/>
  <c r="I56" i="56"/>
  <c r="D107" i="74"/>
  <c r="F88" i="80"/>
  <c r="N61" i="56"/>
  <c r="O106" i="92"/>
  <c r="N77"/>
  <c r="E48" i="65"/>
  <c r="I52" i="47"/>
  <c r="D28" i="94"/>
  <c r="K73" i="47"/>
  <c r="H41" i="51"/>
  <c r="E29" i="90"/>
  <c r="N77" i="75"/>
  <c r="D15" i="49"/>
  <c r="O43" i="68"/>
  <c r="G104" i="34"/>
  <c r="H45" i="71"/>
  <c r="D71" i="70"/>
  <c r="O79" i="45"/>
  <c r="M25" i="93"/>
  <c r="H21" i="34"/>
  <c r="O33" i="48"/>
  <c r="O43" i="54"/>
  <c r="F47" i="62"/>
  <c r="L24" i="69"/>
  <c r="E18" i="84"/>
  <c r="G50" i="75"/>
  <c r="I68" i="42"/>
  <c r="I80" i="93"/>
  <c r="H13" i="63"/>
  <c r="O15" i="49"/>
  <c r="N100" i="39"/>
  <c r="F34" i="67"/>
  <c r="F25" i="49"/>
  <c r="L48" i="67"/>
  <c r="O95" i="46"/>
  <c r="I34" i="40"/>
  <c r="I53" i="85"/>
  <c r="D27" i="51"/>
  <c r="I46" i="67"/>
  <c r="D57" i="79"/>
  <c r="M34" i="55"/>
  <c r="K85" i="70"/>
  <c r="N62" i="54"/>
  <c r="J71" i="77"/>
  <c r="J64" i="74"/>
  <c r="F26" i="92"/>
  <c r="N34" i="86"/>
  <c r="N18" i="46"/>
  <c r="K7"/>
  <c r="D17" i="58"/>
  <c r="M35" i="56"/>
  <c r="I54" i="94"/>
  <c r="D98" i="85"/>
  <c r="N79" i="26"/>
  <c r="K103" i="29"/>
  <c r="D53" i="26"/>
  <c r="D106" i="46"/>
  <c r="E45" i="50"/>
  <c r="K21" i="78"/>
  <c r="H71"/>
  <c r="F74" i="19"/>
  <c r="K12" i="71"/>
  <c r="F25" i="65"/>
  <c r="H4" i="66"/>
  <c r="G83" i="77"/>
  <c r="L6" i="82"/>
  <c r="I46" i="32"/>
  <c r="H7" i="63"/>
  <c r="E42" i="89"/>
  <c r="O38" i="70"/>
  <c r="K35" i="74"/>
  <c r="D45" i="56"/>
  <c r="N79" i="76"/>
  <c r="F10" i="36"/>
  <c r="H20" i="32"/>
  <c r="L17" i="70"/>
  <c r="K24" i="51"/>
  <c r="L50" i="77"/>
  <c r="L101" i="80"/>
  <c r="D37" i="52"/>
  <c r="O21" i="68"/>
  <c r="O94" i="74"/>
  <c r="I97" i="46"/>
  <c r="J49" i="56"/>
  <c r="G8" i="40"/>
  <c r="L61" i="76"/>
  <c r="N39" i="63"/>
  <c r="K44" i="69"/>
  <c r="L22" i="55"/>
  <c r="M79" i="82"/>
  <c r="N25"/>
  <c r="G27" i="58"/>
  <c r="H88" i="90"/>
  <c r="D49" i="45"/>
  <c r="F50" i="49"/>
  <c r="G97" i="54"/>
  <c r="J51" i="71"/>
  <c r="J61" i="34"/>
  <c r="E27" i="78"/>
  <c r="E10" i="38"/>
  <c r="I11" i="74"/>
  <c r="H19" i="32"/>
  <c r="M76" i="65"/>
  <c r="D82" i="92"/>
  <c r="K42" i="75"/>
  <c r="H9" i="81"/>
  <c r="N18" i="91"/>
  <c r="E53" i="45"/>
  <c r="F79" i="70"/>
  <c r="N48" i="47"/>
  <c r="G67" i="63"/>
  <c r="D27" i="47"/>
  <c r="K11" i="71"/>
  <c r="H65" i="66"/>
  <c r="J97" i="27"/>
  <c r="H37" i="60"/>
  <c r="J6" i="80"/>
  <c r="K48" i="87"/>
  <c r="K64" i="25"/>
  <c r="M14" i="60"/>
  <c r="F39" i="72"/>
  <c r="M61" i="36"/>
  <c r="N55" i="74"/>
  <c r="E100" i="55"/>
  <c r="N42" i="57"/>
  <c r="G36" i="64"/>
  <c r="J88" i="94"/>
  <c r="G50" i="52"/>
  <c r="E33" i="60"/>
  <c r="D31" i="66"/>
  <c r="J101" i="56"/>
  <c r="I16" i="19"/>
  <c r="J4" i="54"/>
  <c r="F11" i="55"/>
  <c r="H76" i="48"/>
  <c r="H34" i="40"/>
  <c r="E79"/>
  <c r="K22" i="84"/>
  <c r="D91" i="64"/>
  <c r="M77" i="57"/>
  <c r="M10" i="48"/>
  <c r="H49" i="19"/>
  <c r="H4" i="57"/>
  <c r="N17" i="78"/>
  <c r="M22" i="87"/>
  <c r="H11" i="45"/>
  <c r="F52" i="61"/>
  <c r="I14" i="48"/>
  <c r="G35" i="30"/>
  <c r="H21" i="59"/>
  <c r="M86" i="61"/>
  <c r="E37" i="81"/>
  <c r="F97" i="41"/>
  <c r="L88" i="48"/>
  <c r="E45" i="40"/>
  <c r="N44" i="72"/>
  <c r="O42" i="70"/>
  <c r="O18" i="72"/>
  <c r="G11" i="62"/>
  <c r="H45" i="73"/>
  <c r="G5" i="29"/>
  <c r="K85" i="93"/>
  <c r="D30" i="53"/>
  <c r="H41" i="62"/>
  <c r="H23" i="92"/>
  <c r="L16" i="47"/>
  <c r="J34" i="89"/>
  <c r="L27" i="65"/>
  <c r="O59" i="51"/>
  <c r="D97" i="26"/>
  <c r="N13" i="68"/>
  <c r="L15" i="53"/>
  <c r="M95" i="59"/>
  <c r="J26" i="66"/>
  <c r="N68" i="94"/>
  <c r="O70" i="41"/>
  <c r="N80" i="91"/>
  <c r="G54" i="34"/>
  <c r="N43" i="25"/>
  <c r="J9" i="39"/>
  <c r="J68" i="30"/>
  <c r="O42" i="73"/>
  <c r="F27" i="62"/>
  <c r="O12" i="70"/>
  <c r="L41" i="25"/>
  <c r="K77" i="60"/>
  <c r="F50" i="27"/>
  <c r="E58" i="56"/>
  <c r="K21" i="38"/>
  <c r="G34" i="27"/>
  <c r="H25" i="54"/>
  <c r="F59" i="39"/>
  <c r="O31" i="38"/>
  <c r="J24" i="48"/>
  <c r="J53" i="65"/>
  <c r="H91" i="93"/>
  <c r="K56" i="80"/>
  <c r="G77" i="57"/>
  <c r="F35" i="71"/>
  <c r="N33" i="35"/>
  <c r="M65" i="81"/>
  <c r="K107" i="43"/>
  <c r="H45" i="47"/>
  <c r="O12" i="58"/>
  <c r="I57" i="94"/>
  <c r="F29" i="47"/>
  <c r="D64" i="78"/>
  <c r="O98" i="48"/>
  <c r="M62" i="83"/>
  <c r="D27" i="91"/>
  <c r="J40" i="94"/>
  <c r="M14" i="73"/>
  <c r="N34" i="57"/>
  <c r="F28" i="90"/>
  <c r="I10" i="65"/>
  <c r="D11" i="32"/>
  <c r="O5" i="63"/>
  <c r="F39" i="26"/>
  <c r="M13" i="60"/>
  <c r="E74" i="29"/>
  <c r="M19" i="89"/>
  <c r="O68" i="54"/>
  <c r="O89" i="29"/>
  <c r="F73" i="39"/>
  <c r="F36" i="29"/>
  <c r="L70" i="48"/>
  <c r="K35" i="44"/>
  <c r="L14" i="41"/>
  <c r="N20" i="86"/>
  <c r="I31" i="89"/>
  <c r="H92" i="93"/>
  <c r="D25" i="51"/>
  <c r="G71" i="45"/>
  <c r="G88" i="72"/>
  <c r="F44" i="56"/>
  <c r="K46" i="78"/>
  <c r="E46" i="66"/>
  <c r="K85" i="78"/>
  <c r="L59" i="53"/>
  <c r="M19" i="70"/>
  <c r="K49" i="34"/>
  <c r="J45" i="59"/>
  <c r="H12" i="38"/>
  <c r="M101" i="30"/>
  <c r="H26" i="84"/>
  <c r="E92" i="89"/>
  <c r="L28" i="27"/>
  <c r="I34" i="71"/>
  <c r="M79" i="43"/>
  <c r="G51" i="76"/>
  <c r="E29" i="79"/>
  <c r="L21" i="87"/>
  <c r="N21" i="54"/>
  <c r="O34" i="65"/>
  <c r="D5" i="48"/>
  <c r="G65" i="86"/>
  <c r="O45" i="30"/>
  <c r="J76" i="26"/>
  <c r="E106" i="72"/>
  <c r="M49" i="41"/>
  <c r="K54" i="90"/>
  <c r="K9" i="70"/>
  <c r="F7" i="55"/>
  <c r="F80" i="93"/>
  <c r="L49" i="70"/>
  <c r="L104" i="47"/>
  <c r="L11" i="66"/>
  <c r="J43" i="60"/>
  <c r="F95" i="73"/>
  <c r="O70" i="35"/>
  <c r="F23" i="78"/>
  <c r="J21" i="33"/>
  <c r="L25" i="84"/>
  <c r="D65" i="78"/>
  <c r="F28" i="61"/>
  <c r="H50" i="79"/>
  <c r="E50" i="40"/>
  <c r="F27" i="25"/>
  <c r="D85" i="93"/>
  <c r="J34" i="51"/>
  <c r="J100" i="50"/>
  <c r="L62" i="58"/>
  <c r="H13" i="25"/>
  <c r="N40" i="45"/>
  <c r="N83" i="41"/>
  <c r="N51" i="63"/>
  <c r="M25" i="83"/>
  <c r="K32" i="48"/>
  <c r="E47" i="89"/>
  <c r="O8" i="92"/>
  <c r="O30" i="59"/>
  <c r="O14" i="43"/>
  <c r="G91" i="32"/>
  <c r="J67" i="46"/>
  <c r="J55" i="94"/>
  <c r="N54" i="69"/>
  <c r="F92" i="44"/>
  <c r="H6" i="90"/>
  <c r="K35" i="78"/>
  <c r="M47" i="86"/>
  <c r="I53" i="39"/>
  <c r="I59" i="86"/>
  <c r="K82" i="41"/>
  <c r="J41" i="94"/>
  <c r="G103" i="41"/>
  <c r="L6" i="69"/>
  <c r="O8" i="90"/>
  <c r="F91" i="25"/>
  <c r="K13" i="34"/>
  <c r="O46" i="55"/>
  <c r="F27" i="72"/>
  <c r="G53" i="86"/>
  <c r="N55" i="25"/>
  <c r="I25" i="52"/>
  <c r="G9" i="50"/>
  <c r="K59" i="89"/>
  <c r="G14" i="27"/>
  <c r="O36" i="70"/>
  <c r="F61" i="67"/>
  <c r="G100" i="80"/>
  <c r="I86" i="40"/>
  <c r="N44" i="77"/>
  <c r="G49" i="48"/>
  <c r="J88" i="45"/>
  <c r="I19" i="48"/>
  <c r="I51" i="43"/>
  <c r="K13" i="54"/>
  <c r="H46" i="63"/>
  <c r="E17" i="78"/>
  <c r="G57" i="79"/>
  <c r="N33" i="62"/>
  <c r="N67" i="69"/>
  <c r="G12" i="51"/>
  <c r="J57" i="29"/>
  <c r="N39" i="40"/>
  <c r="J71" i="64"/>
  <c r="D56" i="42"/>
  <c r="M52" i="92"/>
  <c r="N52" i="67"/>
  <c r="F16" i="49"/>
  <c r="I45" i="73"/>
  <c r="I98" i="57"/>
  <c r="K10" i="30"/>
  <c r="L49" i="87"/>
  <c r="M14" i="77"/>
  <c r="L31" i="56"/>
  <c r="M43" i="74"/>
  <c r="E92" i="50"/>
  <c r="G58" i="75"/>
  <c r="M40" i="38"/>
  <c r="O25" i="87"/>
  <c r="I37" i="26"/>
  <c r="M20" i="36"/>
  <c r="M12" i="30"/>
  <c r="K85" i="74"/>
  <c r="H15" i="60"/>
  <c r="M74" i="69"/>
  <c r="K77" i="41"/>
  <c r="G9" i="47"/>
  <c r="M92" i="34"/>
  <c r="F89" i="29"/>
  <c r="M13" i="86"/>
  <c r="D29" i="43"/>
  <c r="K53" i="86"/>
  <c r="D55" i="65"/>
  <c r="N21" i="39"/>
  <c r="L47" i="82"/>
  <c r="K20" i="67"/>
  <c r="M40" i="57"/>
  <c r="I42"/>
  <c r="G9" i="52"/>
  <c r="D65" i="55"/>
  <c r="D100" i="93"/>
  <c r="L37" i="67"/>
  <c r="D15" i="26"/>
  <c r="L52" i="68"/>
  <c r="M74" i="66"/>
  <c r="M27" i="36"/>
  <c r="H48" i="76"/>
  <c r="I19" i="52"/>
  <c r="N89" i="91"/>
  <c r="E30" i="72"/>
  <c r="D88" i="65"/>
  <c r="H41" i="69"/>
  <c r="K25" i="87"/>
  <c r="J41" i="71"/>
  <c r="E68" i="46"/>
  <c r="I92" i="66"/>
  <c r="M92" i="38"/>
  <c r="N5" i="94"/>
  <c r="L12" i="41"/>
  <c r="H14" i="64"/>
  <c r="G14" i="62"/>
  <c r="F52" i="42"/>
  <c r="I13" i="67"/>
  <c r="L91" i="35"/>
  <c r="M50"/>
  <c r="I11" i="48"/>
  <c r="F47" i="83"/>
  <c r="H28" i="65"/>
  <c r="G44" i="56"/>
  <c r="M101" i="40"/>
  <c r="O58" i="58"/>
  <c r="E74" i="53"/>
  <c r="L89" i="66"/>
  <c r="D16" i="92"/>
  <c r="J98" i="76"/>
  <c r="H34" i="66"/>
  <c r="L52" i="77"/>
  <c r="D39" i="71"/>
  <c r="F58" i="81"/>
  <c r="D95" i="70"/>
  <c r="I103" i="26"/>
  <c r="K23" i="43"/>
  <c r="I62" i="72"/>
  <c r="E6" i="57"/>
  <c r="D57" i="39"/>
  <c r="K77" i="67"/>
  <c r="L31" i="61"/>
  <c r="E70" i="81"/>
  <c r="M70" i="55"/>
  <c r="O103" i="25"/>
  <c r="D15" i="32"/>
  <c r="J61" i="66"/>
  <c r="K47" i="51"/>
  <c r="K50" i="30"/>
  <c r="D65" i="41"/>
  <c r="L48" i="68"/>
  <c r="G83" i="84"/>
  <c r="G39" i="59"/>
  <c r="M74" i="57"/>
  <c r="N43" i="41"/>
  <c r="N17" i="47"/>
  <c r="O35" i="54"/>
  <c r="E54" i="72"/>
  <c r="H46" i="43"/>
  <c r="I37" i="89"/>
  <c r="D15" i="58"/>
  <c r="L16" i="43"/>
  <c r="L97" i="38"/>
  <c r="M6" i="39"/>
  <c r="H49" i="53"/>
  <c r="M82" i="34"/>
  <c r="D95" i="78"/>
  <c r="K64" i="64"/>
  <c r="K92" i="41"/>
  <c r="K106" i="67"/>
  <c r="F67" i="66"/>
  <c r="O74" i="61"/>
  <c r="O53" i="83"/>
  <c r="G70" i="25"/>
  <c r="D40" i="39"/>
  <c r="G7" i="69"/>
  <c r="N30" i="87"/>
  <c r="J39" i="75"/>
  <c r="O91" i="92"/>
  <c r="L49" i="26"/>
  <c r="M42" i="89"/>
  <c r="J91" i="41"/>
  <c r="E16" i="44"/>
  <c r="J31" i="84"/>
  <c r="D14" i="91"/>
  <c r="O106" i="26"/>
  <c r="G36" i="65"/>
  <c r="N20" i="74"/>
  <c r="J14" i="48"/>
  <c r="G10" i="56"/>
  <c r="M97" i="69"/>
  <c r="E25" i="19"/>
  <c r="E25" i="67"/>
  <c r="M103" i="93"/>
  <c r="G37" i="58"/>
  <c r="E71" i="19"/>
  <c r="K106" i="72"/>
  <c r="I61" i="29"/>
  <c r="O100" i="71"/>
  <c r="G19" i="66"/>
  <c r="O13" i="59"/>
  <c r="G5" i="27"/>
  <c r="H54" i="71"/>
  <c r="L21" i="33"/>
  <c r="G76" i="63"/>
  <c r="E37"/>
  <c r="K80" i="43"/>
  <c r="F35" i="67"/>
  <c r="I83" i="30"/>
  <c r="J6" i="60"/>
  <c r="J43" i="66"/>
  <c r="J37" i="84"/>
  <c r="J15" i="65"/>
  <c r="I45" i="80"/>
  <c r="J27" i="30"/>
  <c r="N39" i="46"/>
  <c r="E7" i="26"/>
  <c r="I32" i="59"/>
  <c r="E56" i="46"/>
  <c r="E9"/>
  <c r="K59" i="77"/>
  <c r="M67" i="35"/>
  <c r="K44" i="27"/>
  <c r="H70" i="32"/>
  <c r="I34" i="54"/>
  <c r="F18" i="36"/>
  <c r="J14" i="69"/>
  <c r="N23" i="67"/>
  <c r="D44" i="47"/>
  <c r="L20" i="39"/>
  <c r="O80" i="47"/>
  <c r="G88" i="41"/>
  <c r="M31" i="34"/>
  <c r="E49" i="64"/>
  <c r="N49" i="19"/>
  <c r="M40" i="59"/>
  <c r="D54" i="77"/>
  <c r="N68" i="63"/>
  <c r="L35" i="83"/>
  <c r="O25" i="39"/>
  <c r="K7" i="83"/>
  <c r="L26" i="27"/>
  <c r="K29" i="74"/>
  <c r="K83" i="64"/>
  <c r="K6" i="78"/>
  <c r="E40" i="67"/>
  <c r="K53" i="54"/>
  <c r="J23" i="67"/>
  <c r="J27" i="74"/>
  <c r="H35"/>
  <c r="I7" i="77"/>
  <c r="L45" i="67"/>
  <c r="F32" i="58"/>
  <c r="O28" i="34"/>
  <c r="F31" i="33"/>
  <c r="J67"/>
  <c r="K24" i="25"/>
  <c r="E33" i="78"/>
  <c r="I45" i="59"/>
  <c r="L12" i="30"/>
  <c r="G17" i="48"/>
  <c r="J48" i="29"/>
  <c r="N55" i="56"/>
  <c r="G36" i="74"/>
  <c r="K40" i="36"/>
  <c r="L4" i="49"/>
  <c r="O100" i="94"/>
  <c r="E95" i="86"/>
  <c r="J34" i="55"/>
  <c r="E94" i="50"/>
  <c r="E23" i="69"/>
  <c r="F22" i="36"/>
  <c r="H97" i="47"/>
  <c r="H48" i="93"/>
  <c r="O4" i="26"/>
  <c r="I54" i="68"/>
  <c r="F68" i="29"/>
  <c r="D41" i="94"/>
  <c r="D68" i="78"/>
  <c r="I25" i="32"/>
  <c r="G76" i="82"/>
  <c r="J88" i="79"/>
  <c r="G30" i="63"/>
  <c r="D21" i="49"/>
  <c r="O101" i="87"/>
  <c r="M12" i="26"/>
  <c r="N23" i="89"/>
  <c r="D7" i="87"/>
  <c r="J95" i="82"/>
  <c r="F73" i="61"/>
  <c r="D101" i="54"/>
  <c r="G53"/>
  <c r="N8" i="68"/>
  <c r="K45" i="84"/>
  <c r="I67" i="90"/>
  <c r="D24" i="79"/>
  <c r="K65" i="62"/>
  <c r="D4" i="87"/>
  <c r="H54" i="62"/>
  <c r="L55" i="74"/>
  <c r="J28" i="44"/>
  <c r="N21" i="92"/>
  <c r="J36" i="70"/>
  <c r="I76" i="32"/>
  <c r="K56" i="91"/>
  <c r="D98" i="84"/>
  <c r="N42" i="91"/>
  <c r="L7" i="61"/>
  <c r="N41" i="43"/>
  <c r="K42" i="19"/>
  <c r="D25" i="33"/>
  <c r="L15" i="47"/>
  <c r="M100" i="81"/>
  <c r="I29" i="59"/>
  <c r="L49" i="66"/>
  <c r="M23" i="60"/>
  <c r="E94" i="29"/>
  <c r="G56" i="44"/>
  <c r="M13" i="27"/>
  <c r="I94" i="68"/>
  <c r="H82" i="38"/>
  <c r="D36" i="53"/>
  <c r="D37" i="66"/>
  <c r="E42" i="44"/>
  <c r="K49" i="55"/>
  <c r="G68" i="68"/>
  <c r="H14" i="59"/>
  <c r="H107" i="35"/>
  <c r="O104" i="36"/>
  <c r="H88" i="38"/>
  <c r="E53" i="29"/>
  <c r="E21" i="94"/>
  <c r="D35" i="25"/>
  <c r="I7" i="69"/>
  <c r="N41" i="25"/>
  <c r="L24" i="80"/>
  <c r="M11" i="68"/>
  <c r="G14" i="79"/>
  <c r="O83" i="54"/>
  <c r="E47" i="59"/>
  <c r="O79" i="90"/>
  <c r="M21" i="39"/>
  <c r="N42" i="53"/>
  <c r="D80" i="33"/>
  <c r="I83" i="93"/>
  <c r="H39" i="75"/>
  <c r="O25" i="93"/>
  <c r="H86" i="35"/>
  <c r="G51" i="84"/>
  <c r="N21" i="19"/>
  <c r="E18" i="50"/>
  <c r="F94" i="45"/>
  <c r="H92" i="41"/>
  <c r="I76" i="38"/>
  <c r="D43" i="74"/>
  <c r="O33" i="56"/>
  <c r="K91" i="39"/>
  <c r="K64" i="60"/>
  <c r="E103" i="90"/>
  <c r="L5" i="55"/>
  <c r="M94"/>
  <c r="G13" i="89"/>
  <c r="D71" i="81"/>
  <c r="I26" i="35"/>
  <c r="L91" i="71"/>
  <c r="N29" i="63"/>
  <c r="L46" i="87"/>
  <c r="O35" i="67"/>
  <c r="D54" i="44"/>
  <c r="I104" i="76"/>
  <c r="I30" i="68"/>
  <c r="F61" i="75"/>
  <c r="D97" i="93"/>
  <c r="H19" i="76"/>
  <c r="I74" i="59"/>
  <c r="I26" i="52"/>
  <c r="F36" i="36"/>
  <c r="N100" i="71"/>
  <c r="I85" i="55"/>
  <c r="E44" i="85"/>
  <c r="L23" i="78"/>
  <c r="O94" i="94"/>
  <c r="K19" i="62"/>
  <c r="K62" i="59"/>
  <c r="I40" i="40"/>
  <c r="N30" i="67"/>
  <c r="H79" i="49"/>
  <c r="D44" i="40"/>
  <c r="E77" i="36"/>
  <c r="E67" i="29"/>
  <c r="K34" i="36"/>
  <c r="D46" i="49"/>
  <c r="O77" i="72"/>
  <c r="I98" i="60"/>
  <c r="M98" i="71"/>
  <c r="F6" i="54"/>
  <c r="E71" i="83"/>
  <c r="E82" i="77"/>
  <c r="N67" i="39"/>
  <c r="H13" i="30"/>
  <c r="N107" i="36"/>
  <c r="E88" i="82"/>
  <c r="L51"/>
  <c r="L39" i="68"/>
  <c r="G77" i="47"/>
  <c r="L53" i="75"/>
  <c r="D107" i="62"/>
  <c r="F23" i="40"/>
  <c r="E16" i="74"/>
  <c r="D32" i="84"/>
  <c r="I11" i="53"/>
  <c r="H25" i="79"/>
  <c r="H11" i="77"/>
  <c r="E50" i="86"/>
  <c r="N11" i="92"/>
  <c r="I19" i="19"/>
  <c r="I17" i="51"/>
  <c r="L4" i="29"/>
  <c r="H13" i="56"/>
  <c r="F57" i="59"/>
  <c r="H61" i="66"/>
  <c r="H94" i="82"/>
  <c r="N28" i="93"/>
  <c r="M103" i="73"/>
  <c r="D95" i="36"/>
  <c r="M79" i="71"/>
  <c r="J37" i="77"/>
  <c r="J27" i="41"/>
  <c r="N44" i="87"/>
  <c r="K15" i="84"/>
  <c r="I34" i="64"/>
  <c r="J85" i="63"/>
  <c r="J38" i="32"/>
  <c r="F54" i="46"/>
  <c r="O32" i="47"/>
  <c r="O47" i="64"/>
  <c r="F98" i="35"/>
  <c r="N94" i="26"/>
  <c r="K101" i="81"/>
  <c r="F73" i="26"/>
  <c r="J25" i="63"/>
  <c r="O45"/>
  <c r="L24" i="66"/>
  <c r="D61" i="40"/>
  <c r="O45" i="83"/>
  <c r="H85" i="57"/>
  <c r="K40" i="49"/>
  <c r="M80" i="48"/>
  <c r="E15" i="30"/>
  <c r="K16" i="34"/>
  <c r="I6" i="66"/>
  <c r="L33" i="60"/>
  <c r="M42" i="56"/>
  <c r="K41" i="80"/>
  <c r="I98" i="32"/>
  <c r="G27" i="76"/>
  <c r="L104" i="45"/>
  <c r="H43" i="50"/>
  <c r="K26" i="33"/>
  <c r="L54" i="69"/>
  <c r="L42" i="93"/>
  <c r="N106" i="25"/>
  <c r="E49"/>
  <c r="E26" i="75"/>
  <c r="E85" i="26"/>
  <c r="G100" i="84"/>
  <c r="J38" i="71"/>
  <c r="F50" i="65"/>
  <c r="H37" i="39"/>
  <c r="F39"/>
  <c r="J33" i="90"/>
  <c r="M22" i="19"/>
  <c r="F25" i="33"/>
  <c r="H37" i="46"/>
  <c r="E24" i="94"/>
  <c r="D4" i="83"/>
  <c r="D4" i="38"/>
  <c r="M36" i="72"/>
  <c r="E28" i="69"/>
  <c r="F27" i="19"/>
  <c r="L35" i="60"/>
  <c r="J16" i="41"/>
  <c r="N27" i="77"/>
  <c r="D10" i="68"/>
  <c r="D42" i="48"/>
  <c r="H4" i="35"/>
  <c r="G45" i="67"/>
  <c r="G38" i="63"/>
  <c r="L11" i="80"/>
  <c r="F62" i="45"/>
  <c r="N5" i="53"/>
  <c r="G37" i="77"/>
  <c r="J53" i="62"/>
  <c r="H11" i="27"/>
  <c r="N47" i="63"/>
  <c r="J48" i="76"/>
  <c r="J27" i="77"/>
  <c r="D29" i="19"/>
  <c r="O16" i="82"/>
  <c r="G67" i="69"/>
  <c r="H91" i="71"/>
  <c r="K41" i="63"/>
  <c r="F36" i="77"/>
  <c r="L68" i="71"/>
  <c r="G76" i="65"/>
  <c r="H6" i="67"/>
  <c r="N16" i="51"/>
  <c r="F46" i="57"/>
  <c r="G106" i="89"/>
  <c r="K54" i="84"/>
  <c r="M91" i="19"/>
  <c r="F62" i="90"/>
  <c r="O31" i="45"/>
  <c r="H55" i="48"/>
  <c r="K51" i="46"/>
  <c r="M13" i="72"/>
  <c r="H82" i="76"/>
  <c r="E101" i="34"/>
  <c r="D79" i="72"/>
  <c r="L5" i="76"/>
  <c r="F58" i="70"/>
  <c r="E24" i="68"/>
  <c r="K57" i="63"/>
  <c r="G16" i="66"/>
  <c r="N44" i="89"/>
  <c r="N76" i="84"/>
  <c r="O70" i="61"/>
  <c r="N31" i="47"/>
  <c r="O37" i="87"/>
  <c r="D95" i="64"/>
  <c r="I22" i="51"/>
  <c r="E97" i="70"/>
  <c r="G45" i="79"/>
  <c r="H65" i="49"/>
  <c r="H107" i="47"/>
  <c r="N100" i="60"/>
  <c r="I27" i="83"/>
  <c r="M19"/>
  <c r="O16" i="51"/>
  <c r="O49" i="56"/>
  <c r="N8" i="80"/>
  <c r="F35" i="58"/>
  <c r="D47" i="47"/>
  <c r="N97" i="93"/>
  <c r="N82" i="89"/>
  <c r="I40" i="41"/>
  <c r="K5" i="40"/>
  <c r="N97" i="44"/>
  <c r="I21" i="73"/>
  <c r="H65" i="26"/>
  <c r="N32" i="47"/>
  <c r="K73" i="36"/>
  <c r="I54" i="61"/>
  <c r="N76" i="74"/>
  <c r="J101" i="77"/>
  <c r="I42" i="44"/>
  <c r="G38" i="27"/>
  <c r="N23" i="69"/>
  <c r="K91" i="54"/>
  <c r="J19" i="25"/>
  <c r="G33" i="33"/>
  <c r="K43" i="75"/>
  <c r="J70" i="25"/>
  <c r="K18" i="74"/>
  <c r="H45" i="70"/>
  <c r="N24" i="77"/>
  <c r="E85" i="84"/>
  <c r="J57" i="80"/>
  <c r="M13" i="33"/>
  <c r="G49" i="83"/>
  <c r="M23" i="44"/>
  <c r="M107" i="61"/>
  <c r="F65" i="87"/>
  <c r="E41" i="65"/>
  <c r="K85" i="86"/>
  <c r="D51" i="38"/>
  <c r="E19"/>
  <c r="M49" i="34"/>
  <c r="F6" i="26"/>
  <c r="H51" i="71"/>
  <c r="N101" i="91"/>
  <c r="M54" i="69"/>
  <c r="L92"/>
  <c r="H46" i="46"/>
  <c r="J17"/>
  <c r="J86" i="33"/>
  <c r="E54" i="91"/>
  <c r="N106" i="89"/>
  <c r="I9" i="34"/>
  <c r="M77" i="74"/>
  <c r="O62" i="46"/>
  <c r="D89" i="69"/>
  <c r="G73" i="53"/>
  <c r="G23" i="27"/>
  <c r="L54" i="92"/>
  <c r="M4" i="71"/>
  <c r="M104" i="90"/>
  <c r="N39" i="57"/>
  <c r="L49" i="83"/>
  <c r="E97" i="94"/>
  <c r="I88" i="52"/>
  <c r="F85" i="85"/>
  <c r="J89" i="25"/>
  <c r="H31" i="48"/>
  <c r="H95" i="55"/>
  <c r="E80" i="42"/>
  <c r="F88" i="44"/>
  <c r="E86" i="80"/>
  <c r="I64" i="63"/>
  <c r="H4" i="29"/>
  <c r="M35" i="19"/>
  <c r="F97" i="57"/>
  <c r="L70" i="56"/>
  <c r="K51" i="45"/>
  <c r="H67" i="50"/>
  <c r="O100" i="56"/>
  <c r="I14" i="76"/>
  <c r="D103" i="60"/>
  <c r="J13" i="35"/>
  <c r="M43" i="83"/>
  <c r="J101" i="61"/>
  <c r="D73" i="38"/>
  <c r="N82" i="94"/>
  <c r="J59" i="39"/>
  <c r="O8" i="55"/>
  <c r="E43" i="73"/>
  <c r="O15" i="65"/>
  <c r="J46" i="86"/>
  <c r="G64" i="32"/>
  <c r="O20" i="91"/>
  <c r="G37" i="76"/>
  <c r="E15" i="89"/>
  <c r="K19" i="77"/>
  <c r="K9" i="92"/>
  <c r="N70" i="26"/>
  <c r="F14" i="82"/>
  <c r="L33" i="86"/>
  <c r="J83" i="35"/>
  <c r="J32" i="59"/>
  <c r="D62" i="58"/>
  <c r="I37" i="86"/>
  <c r="E104" i="44"/>
  <c r="I37" i="52"/>
  <c r="N82" i="36"/>
  <c r="D56" i="34"/>
  <c r="I48" i="72"/>
  <c r="D21" i="34"/>
  <c r="H16" i="63"/>
  <c r="O34" i="54"/>
  <c r="L52" i="46"/>
  <c r="E77" i="27"/>
  <c r="L57" i="80"/>
  <c r="F44" i="84"/>
  <c r="I53" i="40"/>
  <c r="L68" i="67"/>
  <c r="O73" i="54"/>
  <c r="J86" i="87"/>
  <c r="K20" i="49"/>
  <c r="H6" i="63"/>
  <c r="N55" i="78"/>
  <c r="F101" i="46"/>
  <c r="N52" i="45"/>
  <c r="G86" i="86"/>
  <c r="E57" i="69"/>
  <c r="I56" i="83"/>
  <c r="F24" i="34"/>
  <c r="E107" i="67"/>
  <c r="F59" i="90"/>
  <c r="L82" i="62"/>
  <c r="I44" i="78"/>
  <c r="I89" i="83"/>
  <c r="L44" i="55"/>
  <c r="I6" i="87"/>
  <c r="I16" i="70"/>
  <c r="D4" i="56"/>
  <c r="D33" i="66"/>
  <c r="F77" i="67"/>
  <c r="M74" i="46"/>
  <c r="K20" i="60"/>
  <c r="I106" i="29"/>
  <c r="E106" i="32"/>
  <c r="J80" i="67"/>
  <c r="J58" i="44"/>
  <c r="E50" i="91"/>
  <c r="O26" i="67"/>
  <c r="M57" i="29"/>
  <c r="M44" i="69"/>
  <c r="E64" i="89"/>
  <c r="H65" i="69"/>
  <c r="K18" i="65"/>
  <c r="D10" i="77"/>
  <c r="I17" i="30"/>
  <c r="F16" i="67"/>
  <c r="H14" i="86"/>
  <c r="E62" i="59"/>
  <c r="D19" i="57"/>
  <c r="N53" i="78"/>
  <c r="O62" i="55"/>
  <c r="J103" i="49"/>
  <c r="G68" i="46"/>
  <c r="I9" i="70"/>
  <c r="E106" i="74"/>
  <c r="G20" i="29"/>
  <c r="F25" i="53"/>
  <c r="J89" i="34"/>
  <c r="E36" i="29"/>
  <c r="K30" i="34"/>
  <c r="I8" i="50"/>
  <c r="J7" i="66"/>
  <c r="D71" i="80"/>
  <c r="D64" i="53"/>
  <c r="J57" i="90"/>
  <c r="H68" i="27"/>
  <c r="J15" i="30"/>
  <c r="F39" i="49"/>
  <c r="E80" i="36"/>
  <c r="H48" i="65"/>
  <c r="G91" i="68"/>
  <c r="I101" i="89"/>
  <c r="E34" i="57"/>
  <c r="K50" i="60"/>
  <c r="M85" i="27"/>
  <c r="H55" i="56"/>
  <c r="I36" i="73"/>
  <c r="M23" i="69"/>
  <c r="I80" i="87"/>
  <c r="I100" i="84"/>
  <c r="M92" i="72"/>
  <c r="F24" i="73"/>
  <c r="I67" i="76"/>
  <c r="G15" i="47"/>
  <c r="F44" i="90"/>
  <c r="F43" i="78"/>
  <c r="I22" i="74"/>
  <c r="J65" i="36"/>
  <c r="L44" i="38"/>
  <c r="G77" i="44"/>
  <c r="K95" i="74"/>
  <c r="F46" i="44"/>
  <c r="I100" i="46"/>
  <c r="K74" i="75"/>
  <c r="J70" i="72"/>
  <c r="E58" i="85"/>
  <c r="F91" i="78"/>
  <c r="D74" i="63"/>
  <c r="G62" i="46"/>
  <c r="L103" i="59"/>
  <c r="G36" i="80"/>
  <c r="I49" i="76"/>
  <c r="M36" i="43"/>
  <c r="I106" i="27"/>
  <c r="M13" i="68"/>
  <c r="O16" i="56"/>
  <c r="M33" i="63"/>
  <c r="E7" i="87"/>
  <c r="G74" i="69"/>
  <c r="N103" i="94"/>
  <c r="M5" i="80"/>
  <c r="K46" i="46"/>
  <c r="N5" i="93"/>
  <c r="H22" i="34"/>
  <c r="L67" i="81"/>
  <c r="E37" i="49"/>
  <c r="H31" i="85"/>
  <c r="F79" i="71"/>
  <c r="I70" i="92"/>
  <c r="D46" i="39"/>
  <c r="E13" i="56"/>
  <c r="D106" i="57"/>
  <c r="L92" i="59"/>
  <c r="K41" i="47"/>
  <c r="K74" i="57"/>
  <c r="G73" i="49"/>
  <c r="H64" i="59"/>
  <c r="G86" i="56"/>
  <c r="M97" i="46"/>
  <c r="E57" i="32"/>
  <c r="H89" i="72"/>
  <c r="E104" i="42"/>
  <c r="D7" i="32"/>
  <c r="M41" i="73"/>
  <c r="L79" i="45"/>
  <c r="E22" i="93"/>
  <c r="J33" i="84"/>
  <c r="G82" i="32"/>
  <c r="D103" i="65"/>
  <c r="G104" i="35"/>
  <c r="N57" i="78"/>
  <c r="H6" i="93"/>
  <c r="E53" i="64"/>
  <c r="L12" i="70"/>
  <c r="K32" i="49"/>
  <c r="D39" i="63"/>
  <c r="E54" i="81"/>
  <c r="G54" i="87"/>
  <c r="K32" i="38"/>
  <c r="N36" i="78"/>
  <c r="J6" i="29"/>
  <c r="M51" i="90"/>
  <c r="M50" i="66"/>
  <c r="G26" i="64"/>
  <c r="G52" i="60"/>
  <c r="N101" i="26"/>
  <c r="H27" i="76"/>
  <c r="E51" i="67"/>
  <c r="G65" i="92"/>
  <c r="H38" i="57"/>
  <c r="J54" i="44"/>
  <c r="M21" i="89"/>
  <c r="N47" i="78"/>
  <c r="H17" i="92"/>
  <c r="L91" i="19"/>
  <c r="H31" i="33"/>
  <c r="H39" i="66"/>
  <c r="D32" i="38"/>
  <c r="G106" i="73"/>
  <c r="J80" i="56"/>
  <c r="K52" i="87"/>
  <c r="F18" i="50"/>
  <c r="J28" i="38"/>
  <c r="O25" i="81"/>
  <c r="M37" i="64"/>
  <c r="F34" i="27"/>
  <c r="J44" i="26"/>
  <c r="N100" i="55"/>
  <c r="K20" i="34"/>
  <c r="H82" i="72"/>
  <c r="I14" i="65"/>
  <c r="F23" i="79"/>
  <c r="K24" i="45"/>
  <c r="L80" i="65"/>
  <c r="J37" i="54"/>
  <c r="M52" i="94"/>
  <c r="D65" i="51"/>
  <c r="D28" i="62"/>
  <c r="G64" i="74"/>
  <c r="N27" i="93"/>
  <c r="L34" i="27"/>
  <c r="O4" i="82"/>
  <c r="I48" i="47"/>
  <c r="N77" i="77"/>
  <c r="F106" i="86"/>
  <c r="M79" i="84"/>
  <c r="D68" i="42"/>
  <c r="L29" i="74"/>
  <c r="I28" i="62"/>
  <c r="M57" i="39"/>
  <c r="K23" i="61"/>
  <c r="G79" i="19"/>
  <c r="E19" i="47"/>
  <c r="F95" i="85"/>
  <c r="L73" i="48"/>
  <c r="I21" i="68"/>
  <c r="J65" i="87"/>
  <c r="E42" i="52"/>
  <c r="K61" i="56"/>
  <c r="E11" i="69"/>
  <c r="G21" i="32"/>
  <c r="G51" i="85"/>
  <c r="O52" i="61"/>
  <c r="D18" i="38"/>
  <c r="F56" i="66"/>
  <c r="D56" i="92"/>
  <c r="J34" i="81"/>
  <c r="I47" i="39"/>
  <c r="I43" i="61"/>
  <c r="F8" i="93"/>
  <c r="F43" i="54"/>
  <c r="D100" i="72"/>
  <c r="H51" i="48"/>
  <c r="E12" i="42"/>
  <c r="J38" i="44"/>
  <c r="F28" i="57"/>
  <c r="I74" i="92"/>
  <c r="M30" i="54"/>
  <c r="O91" i="65"/>
  <c r="D107" i="44"/>
  <c r="N95" i="51"/>
  <c r="I6" i="89"/>
  <c r="O22" i="49"/>
  <c r="I97" i="91"/>
  <c r="H26" i="93"/>
  <c r="E31" i="26"/>
  <c r="J15" i="77"/>
  <c r="I76" i="75"/>
  <c r="N53" i="59"/>
  <c r="N91" i="51"/>
  <c r="J100" i="66"/>
  <c r="E29" i="84"/>
  <c r="G82" i="52"/>
  <c r="O65" i="65"/>
  <c r="L39" i="83"/>
  <c r="H28" i="92"/>
  <c r="I64" i="53"/>
  <c r="M43" i="48"/>
  <c r="G107" i="81"/>
  <c r="J91" i="57"/>
  <c r="L35" i="49"/>
  <c r="F16" i="78"/>
  <c r="D9" i="54"/>
  <c r="E11" i="33"/>
  <c r="F101" i="48"/>
  <c r="O31" i="40"/>
  <c r="G17" i="71"/>
  <c r="H6" i="54"/>
  <c r="F61" i="35"/>
  <c r="E95" i="69"/>
  <c r="O54" i="32"/>
  <c r="F28" i="91"/>
  <c r="K98" i="92"/>
  <c r="E71" i="94"/>
  <c r="H56" i="42"/>
  <c r="H70" i="81"/>
  <c r="I20" i="89"/>
  <c r="K31" i="93"/>
  <c r="N39" i="38"/>
  <c r="O92" i="68"/>
  <c r="D85" i="48"/>
  <c r="L62" i="60"/>
  <c r="H38" i="27"/>
  <c r="O19" i="60"/>
  <c r="E35" i="41"/>
  <c r="O76" i="19"/>
  <c r="N36" i="41"/>
  <c r="J83" i="64"/>
  <c r="J34" i="71"/>
  <c r="K23" i="36"/>
  <c r="L55" i="70"/>
  <c r="K61" i="87"/>
  <c r="I59" i="48"/>
  <c r="D43" i="35"/>
  <c r="L73" i="34"/>
  <c r="H5" i="40"/>
  <c r="I25" i="45"/>
  <c r="D68" i="82"/>
  <c r="O74" i="44"/>
  <c r="E98" i="85"/>
  <c r="H79" i="30"/>
  <c r="I31" i="55"/>
  <c r="N11" i="25"/>
  <c r="L73" i="53"/>
  <c r="D57" i="77"/>
  <c r="M17" i="94"/>
  <c r="G34" i="29"/>
  <c r="N34" i="84"/>
  <c r="N50" i="30"/>
  <c r="O47" i="40"/>
  <c r="O89" i="90"/>
  <c r="K15" i="47"/>
  <c r="F89" i="19"/>
  <c r="N56" i="86"/>
  <c r="O8" i="67"/>
  <c r="D80" i="86"/>
  <c r="O47" i="59"/>
  <c r="N104" i="75"/>
  <c r="O98" i="47"/>
  <c r="G16" i="57"/>
  <c r="H4" i="94"/>
  <c r="O33" i="90"/>
  <c r="E61" i="58"/>
  <c r="D41" i="93"/>
  <c r="J91" i="75"/>
  <c r="J64" i="26"/>
  <c r="K54" i="80"/>
  <c r="M51" i="83"/>
  <c r="E5" i="40"/>
  <c r="J5" i="80"/>
  <c r="G39" i="56"/>
  <c r="E98" i="43"/>
  <c r="F51" i="92"/>
  <c r="I39" i="51"/>
  <c r="M92" i="90"/>
  <c r="F33" i="41"/>
  <c r="L103" i="63"/>
  <c r="K29" i="90"/>
  <c r="L32" i="69"/>
  <c r="J47" i="80"/>
  <c r="D41" i="75"/>
  <c r="L40" i="91"/>
  <c r="D45" i="44"/>
  <c r="J70" i="93"/>
  <c r="M47" i="61"/>
  <c r="M27" i="65"/>
  <c r="L85" i="43"/>
  <c r="G79" i="60"/>
  <c r="J11" i="69"/>
  <c r="G11" i="83"/>
  <c r="N104" i="19"/>
  <c r="J80" i="36"/>
  <c r="M68" i="71"/>
  <c r="E32" i="91"/>
  <c r="D16" i="71"/>
  <c r="F91" i="30"/>
  <c r="D95" i="25"/>
  <c r="H35" i="89"/>
  <c r="O76" i="41"/>
  <c r="H62" i="75"/>
  <c r="G25" i="19"/>
  <c r="I35" i="75"/>
  <c r="K4" i="27"/>
  <c r="L59" i="55"/>
  <c r="L25" i="82"/>
  <c r="L85" i="58"/>
  <c r="D22" i="86"/>
  <c r="D70" i="66"/>
  <c r="G44" i="75"/>
  <c r="N95" i="49"/>
  <c r="O40" i="60"/>
  <c r="K58" i="30"/>
  <c r="H95" i="19"/>
  <c r="F18" i="78"/>
  <c r="F15" i="60"/>
  <c r="D8" i="85"/>
  <c r="L50" i="47"/>
  <c r="F70" i="94"/>
  <c r="G58" i="74"/>
  <c r="G23" i="80"/>
  <c r="N23" i="56"/>
  <c r="E20" i="78"/>
  <c r="N10" i="35"/>
  <c r="D46" i="50"/>
  <c r="K74" i="54"/>
  <c r="O33" i="27"/>
  <c r="L10" i="91"/>
  <c r="K74" i="69"/>
  <c r="H77" i="68"/>
  <c r="J73" i="35"/>
  <c r="O73" i="44"/>
  <c r="I73" i="94"/>
  <c r="N12" i="62"/>
  <c r="I70" i="47"/>
  <c r="D77" i="53"/>
  <c r="O28" i="63"/>
  <c r="L91" i="36"/>
  <c r="N86" i="33"/>
  <c r="L42" i="26"/>
  <c r="H14" i="51"/>
  <c r="F32" i="93"/>
  <c r="L9" i="91"/>
  <c r="N70" i="81"/>
  <c r="L106" i="49"/>
  <c r="L15" i="57"/>
  <c r="D79" i="79"/>
  <c r="H42" i="69"/>
  <c r="N85" i="49"/>
  <c r="M15" i="61"/>
  <c r="N6" i="53"/>
  <c r="N59" i="93"/>
  <c r="O45" i="72"/>
  <c r="O62" i="29"/>
  <c r="F21" i="85"/>
  <c r="H54" i="34"/>
  <c r="O36" i="63"/>
  <c r="L58" i="48"/>
  <c r="G6" i="47"/>
  <c r="H37" i="64"/>
  <c r="H35" i="59"/>
  <c r="J67" i="93"/>
  <c r="I36" i="38"/>
  <c r="M79" i="80"/>
  <c r="H46" i="34"/>
  <c r="E65" i="78"/>
  <c r="E83" i="75"/>
  <c r="O47" i="78"/>
  <c r="M97" i="32"/>
  <c r="D51" i="34"/>
  <c r="D19" i="69"/>
  <c r="N98" i="87"/>
  <c r="F97"/>
  <c r="K9" i="25"/>
  <c r="H77" i="45"/>
  <c r="G8" i="51"/>
  <c r="E19"/>
  <c r="E45" i="46"/>
  <c r="N65" i="70"/>
  <c r="K7" i="76"/>
  <c r="L39" i="26"/>
  <c r="I39" i="77"/>
  <c r="H73" i="65"/>
  <c r="K5" i="64"/>
  <c r="N22" i="89"/>
  <c r="L74" i="60"/>
  <c r="I4" i="47"/>
  <c r="F62" i="73"/>
  <c r="K45" i="68"/>
  <c r="F46" i="72"/>
  <c r="K80" i="71"/>
  <c r="M20" i="75"/>
  <c r="K86" i="82"/>
  <c r="E74" i="32"/>
  <c r="M88" i="94"/>
  <c r="N58" i="86"/>
  <c r="G59" i="48"/>
  <c r="J35" i="93"/>
  <c r="E46"/>
  <c r="O34" i="61"/>
  <c r="M36" i="94"/>
  <c r="J104" i="33"/>
  <c r="L92" i="75"/>
  <c r="M52" i="49"/>
  <c r="J103" i="60"/>
  <c r="H36" i="74"/>
  <c r="K92" i="89"/>
  <c r="E23" i="76"/>
  <c r="G10" i="53"/>
  <c r="H39" i="59"/>
  <c r="F73"/>
  <c r="J95" i="46"/>
  <c r="H18" i="94"/>
  <c r="M67" i="39"/>
  <c r="I13" i="34"/>
  <c r="L57" i="29"/>
  <c r="N82" i="38"/>
  <c r="E107" i="69"/>
  <c r="K18" i="45"/>
  <c r="D50" i="68"/>
  <c r="N62" i="44"/>
  <c r="F46" i="48"/>
  <c r="F4" i="46"/>
  <c r="I54" i="52"/>
  <c r="J40" i="29"/>
  <c r="L24" i="89"/>
  <c r="N44" i="41"/>
  <c r="J86" i="48"/>
  <c r="M43" i="80"/>
  <c r="L56" i="74"/>
  <c r="J39" i="36"/>
  <c r="N100" i="69"/>
  <c r="N8" i="61"/>
  <c r="O58" i="76"/>
  <c r="O56" i="29"/>
  <c r="G27" i="84"/>
  <c r="L16" i="38"/>
  <c r="G68" i="66"/>
  <c r="O25" i="62"/>
  <c r="F40" i="61"/>
  <c r="O19" i="33"/>
  <c r="I45" i="86"/>
  <c r="J24" i="36"/>
  <c r="D76" i="38"/>
  <c r="E107" i="74"/>
  <c r="F49" i="40"/>
  <c r="O12" i="74"/>
  <c r="E83" i="87"/>
  <c r="H86" i="93"/>
  <c r="L47" i="63"/>
  <c r="F64" i="65"/>
  <c r="J10" i="91"/>
  <c r="F59" i="89"/>
  <c r="D79" i="90"/>
  <c r="D74" i="83"/>
  <c r="J91" i="90"/>
  <c r="J16" i="79"/>
  <c r="K36" i="91"/>
  <c r="H98" i="62"/>
  <c r="G19" i="32"/>
  <c r="O54" i="63"/>
  <c r="G23" i="65"/>
  <c r="G45" i="62"/>
  <c r="H77" i="80"/>
  <c r="E47" i="38"/>
  <c r="I23" i="30"/>
  <c r="D15" i="50"/>
  <c r="G41" i="90"/>
  <c r="F61" i="94"/>
  <c r="F21" i="39"/>
  <c r="E27" i="32"/>
  <c r="J103" i="91"/>
  <c r="L11" i="25"/>
  <c r="H16" i="71"/>
  <c r="L56" i="83"/>
  <c r="J80" i="30"/>
  <c r="I10" i="29"/>
  <c r="H64" i="74"/>
  <c r="M37" i="92"/>
  <c r="J97" i="41"/>
  <c r="O27" i="53"/>
  <c r="M47" i="93"/>
  <c r="O30" i="47"/>
  <c r="O83" i="39"/>
  <c r="M18" i="84"/>
  <c r="H86" i="76"/>
  <c r="M82" i="55"/>
  <c r="L10" i="68"/>
  <c r="H86" i="73"/>
  <c r="N73" i="70"/>
  <c r="G33" i="78"/>
  <c r="M50" i="69"/>
  <c r="E77" i="30"/>
  <c r="O13" i="55"/>
  <c r="K103" i="77"/>
  <c r="K74" i="55"/>
  <c r="L65" i="71"/>
  <c r="I19" i="72"/>
  <c r="E76" i="82"/>
  <c r="I32" i="60"/>
  <c r="J73" i="51"/>
  <c r="H22" i="60"/>
  <c r="F42"/>
  <c r="E7" i="90"/>
  <c r="F13" i="55"/>
  <c r="D44" i="81"/>
  <c r="H5" i="36"/>
  <c r="M32" i="62"/>
  <c r="K21" i="70"/>
  <c r="H98" i="94"/>
  <c r="N40" i="91"/>
  <c r="F29" i="34"/>
  <c r="I104" i="26"/>
  <c r="D62" i="56"/>
  <c r="M15" i="33"/>
  <c r="O37" i="36"/>
  <c r="G23" i="61"/>
  <c r="K24" i="93"/>
  <c r="L89" i="70"/>
  <c r="D61" i="49"/>
  <c r="K54" i="62"/>
  <c r="E98" i="44"/>
  <c r="L68" i="48"/>
  <c r="J11" i="32"/>
  <c r="K64" i="49"/>
  <c r="M56" i="73"/>
  <c r="I36" i="47"/>
  <c r="F30" i="82"/>
  <c r="F28" i="33"/>
  <c r="J92" i="75"/>
  <c r="E43" i="19"/>
  <c r="O12" i="33"/>
  <c r="I61" i="49"/>
  <c r="O29" i="87"/>
  <c r="G61" i="49"/>
  <c r="I17" i="70"/>
  <c r="F41"/>
  <c r="F51" i="76"/>
  <c r="G88" i="61"/>
  <c r="G82" i="53"/>
  <c r="J106" i="48"/>
  <c r="D33" i="52"/>
  <c r="L67" i="64"/>
  <c r="K80" i="93"/>
  <c r="M50" i="64"/>
  <c r="N103" i="34"/>
  <c r="H40" i="53"/>
  <c r="H101" i="38"/>
  <c r="M33" i="78"/>
  <c r="N28" i="64"/>
  <c r="F106" i="32"/>
  <c r="L14" i="76"/>
  <c r="M20" i="29"/>
  <c r="N79" i="92"/>
  <c r="D19" i="70"/>
  <c r="I23" i="45"/>
  <c r="D35" i="52"/>
  <c r="N6" i="94"/>
  <c r="G10" i="93"/>
  <c r="N13" i="80"/>
  <c r="E68" i="83"/>
  <c r="J18" i="72"/>
  <c r="E22" i="62"/>
  <c r="O30" i="44"/>
  <c r="M48" i="53"/>
  <c r="D26" i="51"/>
  <c r="J21" i="62"/>
  <c r="J82" i="91"/>
  <c r="H39" i="32"/>
  <c r="N107" i="47"/>
  <c r="H6" i="48"/>
  <c r="M43" i="94"/>
  <c r="M25" i="68"/>
  <c r="D79" i="76"/>
  <c r="F25" i="38"/>
  <c r="N6" i="78"/>
  <c r="I27" i="50"/>
  <c r="D41" i="59"/>
  <c r="K88" i="26"/>
  <c r="D107" i="87"/>
  <c r="J89" i="64"/>
  <c r="N13" i="35"/>
  <c r="O22" i="89"/>
  <c r="E86" i="62"/>
  <c r="N48" i="30"/>
  <c r="M38" i="29"/>
  <c r="K41" i="92"/>
  <c r="E76" i="47"/>
  <c r="G19" i="36"/>
  <c r="D57" i="82"/>
  <c r="K91" i="48"/>
  <c r="M85" i="65"/>
  <c r="J47" i="59"/>
  <c r="O32" i="75"/>
  <c r="D91" i="86"/>
  <c r="N56" i="60"/>
  <c r="N58" i="33"/>
  <c r="H35" i="43"/>
  <c r="D77" i="57"/>
  <c r="L95" i="33"/>
  <c r="F13" i="70"/>
  <c r="O94" i="72"/>
  <c r="I73" i="75"/>
  <c r="J10" i="93"/>
  <c r="M29" i="36"/>
  <c r="M7" i="35"/>
  <c r="F77" i="55"/>
  <c r="L31" i="58"/>
  <c r="F38" i="44"/>
  <c r="O71" i="64"/>
  <c r="N41" i="67"/>
  <c r="I65" i="25"/>
  <c r="M88" i="29"/>
  <c r="O94" i="75"/>
  <c r="L8" i="61"/>
  <c r="J18" i="34"/>
  <c r="H15" i="49"/>
  <c r="J12" i="30"/>
  <c r="I32" i="32"/>
  <c r="F70" i="68"/>
  <c r="I103" i="46"/>
  <c r="N50" i="77"/>
  <c r="G79" i="42"/>
  <c r="G47" i="73"/>
  <c r="O42" i="87"/>
  <c r="D47" i="51"/>
  <c r="M34" i="80"/>
  <c r="G27" i="82"/>
  <c r="E104" i="87"/>
  <c r="N38" i="77"/>
  <c r="E48" i="47"/>
  <c r="K37" i="27"/>
  <c r="O68" i="41"/>
  <c r="D34" i="83"/>
  <c r="N40" i="47"/>
  <c r="K35" i="80"/>
  <c r="L71" i="43"/>
  <c r="J32" i="49"/>
  <c r="I31" i="66"/>
  <c r="G45" i="50"/>
  <c r="L35" i="62"/>
  <c r="F7" i="61"/>
  <c r="N9" i="35"/>
  <c r="E4" i="65"/>
  <c r="F36" i="84"/>
  <c r="H100" i="93"/>
  <c r="O25" i="83"/>
  <c r="D49" i="69"/>
  <c r="E42" i="45"/>
  <c r="M14" i="66"/>
  <c r="D61" i="70"/>
  <c r="H40" i="51"/>
  <c r="J25" i="90"/>
  <c r="G30" i="85"/>
  <c r="K22" i="39"/>
  <c r="J5" i="60"/>
  <c r="L39" i="29"/>
  <c r="M59" i="56"/>
  <c r="H73" i="50"/>
  <c r="O61" i="64"/>
  <c r="O5" i="29"/>
  <c r="H7" i="47"/>
  <c r="I34" i="79"/>
  <c r="E62" i="87"/>
  <c r="M103" i="25"/>
  <c r="F19" i="68"/>
  <c r="L82" i="63"/>
  <c r="K19" i="36"/>
  <c r="D10" i="66"/>
  <c r="E59" i="58"/>
  <c r="F52" i="29"/>
  <c r="J18" i="49"/>
  <c r="H56" i="77"/>
  <c r="H11" i="84"/>
  <c r="G40" i="36"/>
  <c r="G67" i="65"/>
  <c r="H42" i="48"/>
  <c r="I54" i="26"/>
  <c r="J45" i="65"/>
  <c r="M62" i="82"/>
  <c r="O97" i="94"/>
  <c r="D86" i="90"/>
  <c r="L70" i="46"/>
  <c r="N88" i="48"/>
  <c r="K41" i="71"/>
  <c r="G17" i="47"/>
  <c r="J76" i="79"/>
  <c r="N33" i="34"/>
  <c r="G21" i="93"/>
  <c r="H47" i="35"/>
  <c r="D6" i="81"/>
  <c r="G12" i="27"/>
  <c r="N20" i="51"/>
  <c r="F89" i="77"/>
  <c r="E18" i="51"/>
  <c r="E70" i="63"/>
  <c r="M89" i="94"/>
  <c r="M65" i="25"/>
  <c r="K12" i="76"/>
  <c r="K56" i="43"/>
  <c r="I31" i="57"/>
  <c r="E14" i="89"/>
  <c r="G70" i="86"/>
  <c r="H8" i="89"/>
  <c r="I31" i="39"/>
  <c r="D92" i="76"/>
  <c r="K13" i="86"/>
  <c r="N12" i="43"/>
  <c r="H12" i="83"/>
  <c r="L103" i="67"/>
  <c r="G37" i="36"/>
  <c r="L16" i="75"/>
  <c r="J23" i="89"/>
  <c r="J65" i="43"/>
  <c r="F35" i="51"/>
  <c r="I76" i="60"/>
  <c r="J8" i="94"/>
  <c r="H58" i="47"/>
  <c r="J40" i="80"/>
  <c r="O36" i="55"/>
  <c r="O64" i="27"/>
  <c r="G83" i="80"/>
  <c r="N17" i="63"/>
  <c r="N68" i="74"/>
  <c r="H73" i="91"/>
  <c r="E27" i="41"/>
  <c r="K53" i="83"/>
  <c r="L11" i="82"/>
  <c r="N50" i="67"/>
  <c r="J21" i="69"/>
  <c r="D58" i="58"/>
  <c r="D95" i="29"/>
  <c r="M89" i="92"/>
  <c r="G54" i="19"/>
  <c r="M86" i="74"/>
  <c r="F62" i="91"/>
  <c r="K46" i="62"/>
  <c r="N89" i="70"/>
  <c r="L55" i="78"/>
  <c r="E36" i="81"/>
  <c r="N31" i="53"/>
  <c r="F18" i="79"/>
  <c r="N36" i="25"/>
  <c r="K104" i="68"/>
  <c r="H31" i="80"/>
  <c r="D57" i="70"/>
  <c r="D70" i="86"/>
  <c r="F86" i="38"/>
  <c r="I29" i="19"/>
  <c r="O103" i="67"/>
  <c r="O85" i="39"/>
  <c r="I91" i="29"/>
  <c r="K12" i="82"/>
  <c r="G56" i="72"/>
  <c r="G101" i="52"/>
  <c r="N101" i="61"/>
  <c r="K31" i="47"/>
  <c r="N44" i="59"/>
  <c r="F36" i="91"/>
  <c r="F12" i="39"/>
  <c r="O86" i="36"/>
  <c r="J71" i="53"/>
  <c r="H86" i="52"/>
  <c r="D79" i="69"/>
  <c r="D92" i="34"/>
  <c r="F107" i="32"/>
  <c r="E94" i="67"/>
  <c r="K86" i="87"/>
  <c r="H94" i="26"/>
  <c r="M11" i="33"/>
  <c r="H82" i="65"/>
  <c r="K47" i="94"/>
  <c r="N100" i="41"/>
  <c r="L98" i="94"/>
  <c r="I89" i="33"/>
  <c r="J56" i="56"/>
  <c r="G85" i="45"/>
  <c r="O54" i="55"/>
  <c r="N26" i="49"/>
  <c r="F11" i="34"/>
  <c r="H12" i="48"/>
  <c r="N30" i="53"/>
  <c r="E59" i="51"/>
  <c r="K61" i="73"/>
  <c r="J44" i="91"/>
  <c r="O15" i="26"/>
  <c r="D64" i="71"/>
  <c r="E100" i="53"/>
  <c r="O101" i="40"/>
  <c r="G48" i="89"/>
  <c r="L24" i="27"/>
  <c r="E24" i="62"/>
  <c r="D45" i="64"/>
  <c r="O46" i="34"/>
  <c r="L30" i="83"/>
  <c r="F51" i="93"/>
  <c r="D83" i="45"/>
  <c r="I31" i="32"/>
  <c r="I70" i="44"/>
  <c r="M20" i="40"/>
  <c r="O58" i="83"/>
  <c r="H58" i="29"/>
  <c r="H32" i="66"/>
  <c r="H39" i="29"/>
  <c r="H9" i="56"/>
  <c r="K47" i="41"/>
  <c r="I54" i="45"/>
  <c r="K7" i="81"/>
  <c r="D86" i="89"/>
  <c r="H15" i="65"/>
  <c r="H55" i="91"/>
  <c r="I57" i="27"/>
  <c r="G56" i="45"/>
  <c r="L46" i="58"/>
  <c r="L5" i="86"/>
  <c r="O34" i="84"/>
  <c r="M100" i="67"/>
  <c r="O5" i="59"/>
  <c r="G27" i="72"/>
  <c r="J41" i="80"/>
  <c r="F23" i="94"/>
  <c r="G24" i="66"/>
  <c r="J74" i="74"/>
  <c r="M51" i="91"/>
  <c r="N47" i="58"/>
  <c r="N64" i="63"/>
  <c r="O88" i="60"/>
  <c r="K71" i="51"/>
  <c r="M47" i="43"/>
  <c r="D88" i="70"/>
  <c r="G26" i="34"/>
  <c r="F106" i="51"/>
  <c r="F20" i="71"/>
  <c r="H25" i="76"/>
  <c r="N73" i="54"/>
  <c r="E24" i="35"/>
  <c r="D28" i="43"/>
  <c r="E13" i="39"/>
  <c r="E38" i="66"/>
  <c r="N51" i="25"/>
  <c r="E49" i="61"/>
  <c r="G71" i="43"/>
  <c r="F89" i="83"/>
  <c r="L73" i="25"/>
  <c r="D65" i="77"/>
  <c r="D104" i="47"/>
  <c r="F50" i="82"/>
  <c r="M73" i="63"/>
  <c r="J68" i="35"/>
  <c r="O9" i="63"/>
  <c r="I82" i="66"/>
  <c r="J59" i="64"/>
  <c r="K59" i="82"/>
  <c r="F107" i="58"/>
  <c r="F29" i="68"/>
  <c r="H4" i="60"/>
  <c r="K82" i="38"/>
  <c r="H42" i="86"/>
  <c r="K104" i="33"/>
  <c r="F85" i="90"/>
  <c r="F68" i="45"/>
  <c r="K79" i="36"/>
  <c r="L19" i="60"/>
  <c r="E12" i="25"/>
  <c r="I14" i="50"/>
  <c r="L80" i="34"/>
  <c r="F10" i="93"/>
  <c r="D31" i="74"/>
  <c r="J4" i="84"/>
  <c r="F27" i="65"/>
  <c r="G67" i="50"/>
  <c r="F65" i="94"/>
  <c r="G29" i="58"/>
  <c r="N88" i="59"/>
  <c r="O95" i="81"/>
  <c r="K17" i="35"/>
  <c r="F68" i="62"/>
  <c r="N40" i="89"/>
  <c r="D13" i="46"/>
  <c r="L103" i="90"/>
  <c r="G79" i="33"/>
  <c r="K28" i="32"/>
  <c r="N7" i="63"/>
  <c r="F54" i="65"/>
  <c r="G98" i="61"/>
  <c r="F37" i="74"/>
  <c r="E27" i="33"/>
  <c r="E9" i="32"/>
  <c r="H5" i="71"/>
  <c r="G57" i="75"/>
  <c r="N8" i="35"/>
  <c r="O30" i="91"/>
  <c r="O24" i="71"/>
  <c r="H28" i="86"/>
  <c r="O54" i="53"/>
  <c r="L26" i="76"/>
  <c r="F6" i="44"/>
  <c r="L76" i="94"/>
  <c r="O74" i="49"/>
  <c r="J15" i="66"/>
  <c r="E41" i="41"/>
  <c r="J94" i="30"/>
  <c r="K51" i="19"/>
  <c r="F36" i="75"/>
  <c r="E101" i="47"/>
  <c r="E37" i="58"/>
  <c r="L51" i="92"/>
  <c r="K98" i="59"/>
  <c r="D98" i="50"/>
  <c r="L74" i="86"/>
  <c r="J67" i="51"/>
  <c r="L107" i="30"/>
  <c r="K16" i="49"/>
  <c r="N61" i="72"/>
  <c r="G71" i="70"/>
  <c r="D13" i="68"/>
  <c r="E64" i="69"/>
  <c r="I73" i="46"/>
  <c r="I47" i="90"/>
  <c r="F34" i="89"/>
  <c r="I37" i="64"/>
  <c r="H37" i="35"/>
  <c r="M41" i="41"/>
  <c r="E25" i="89"/>
  <c r="I21" i="56"/>
  <c r="O67" i="80"/>
  <c r="G18" i="55"/>
  <c r="G39" i="87"/>
  <c r="F49" i="84"/>
  <c r="J40" i="83"/>
  <c r="F48" i="90"/>
  <c r="I65" i="55"/>
  <c r="K17" i="27"/>
  <c r="G36" i="36"/>
  <c r="F5" i="51"/>
  <c r="F71"/>
  <c r="K61" i="43"/>
  <c r="M9" i="73"/>
  <c r="E40" i="32"/>
  <c r="F18" i="64"/>
  <c r="M65" i="78"/>
  <c r="N36" i="58"/>
  <c r="L82" i="86"/>
  <c r="K68" i="47"/>
  <c r="H82" i="80"/>
  <c r="K80" i="36"/>
  <c r="K50" i="40"/>
  <c r="I62" i="60"/>
  <c r="D16" i="54"/>
  <c r="E82" i="93"/>
  <c r="F103" i="26"/>
  <c r="K91" i="94"/>
  <c r="I33" i="67"/>
  <c r="D95" i="53"/>
  <c r="G33" i="32"/>
  <c r="K101" i="68"/>
  <c r="J37" i="62"/>
  <c r="F40" i="69"/>
  <c r="O29" i="64"/>
  <c r="M8" i="75"/>
  <c r="J36" i="29"/>
  <c r="M9" i="48"/>
  <c r="I30" i="73"/>
  <c r="L6" i="87"/>
  <c r="E104" i="78"/>
  <c r="J56" i="58"/>
  <c r="O37" i="27"/>
  <c r="O28" i="40"/>
  <c r="N32" i="27"/>
  <c r="I100" i="77"/>
  <c r="G92" i="29"/>
  <c r="L5" i="45"/>
  <c r="G89" i="35"/>
  <c r="L98" i="48"/>
  <c r="M50" i="65"/>
  <c r="I40" i="94"/>
  <c r="O73" i="76"/>
  <c r="F92" i="30"/>
  <c r="H50" i="81"/>
  <c r="J95"/>
  <c r="J36" i="43"/>
  <c r="L28" i="89"/>
  <c r="D13" i="81"/>
  <c r="K58" i="27"/>
  <c r="D13" i="48"/>
  <c r="J55" i="63"/>
  <c r="E50" i="56"/>
  <c r="D76" i="68"/>
  <c r="E31" i="82"/>
  <c r="J41" i="92"/>
  <c r="H7" i="72"/>
  <c r="I103" i="38"/>
  <c r="J95" i="35"/>
  <c r="H59" i="67"/>
  <c r="H54" i="60"/>
  <c r="J85" i="92"/>
  <c r="G49" i="34"/>
  <c r="H57" i="68"/>
  <c r="E79" i="48"/>
  <c r="K45" i="94"/>
  <c r="J36" i="40"/>
  <c r="E41" i="47"/>
  <c r="D91" i="61"/>
  <c r="M45" i="75"/>
  <c r="O85" i="91"/>
  <c r="L14" i="25"/>
  <c r="M41" i="29"/>
  <c r="I85" i="42"/>
  <c r="J68" i="65"/>
  <c r="N107" i="29"/>
  <c r="K88" i="71"/>
  <c r="I85" i="82"/>
  <c r="D15"/>
  <c r="N12" i="94"/>
  <c r="I45" i="43"/>
  <c r="G94" i="40"/>
  <c r="D71" i="85"/>
  <c r="J49" i="94"/>
  <c r="M29" i="49"/>
  <c r="I9" i="38"/>
  <c r="O30" i="92"/>
  <c r="G101" i="63"/>
  <c r="G58" i="87"/>
  <c r="M55" i="54"/>
  <c r="L48" i="86"/>
  <c r="N8" i="43"/>
  <c r="J97" i="90"/>
  <c r="I79" i="47"/>
  <c r="L41"/>
  <c r="I49" i="75"/>
  <c r="G23" i="60"/>
  <c r="I18" i="63"/>
  <c r="L4" i="68"/>
  <c r="E65" i="48"/>
  <c r="E8" i="54"/>
  <c r="I4" i="41"/>
  <c r="M28" i="93"/>
  <c r="L44" i="70"/>
  <c r="L68" i="45"/>
  <c r="H43" i="51"/>
  <c r="G24" i="80"/>
  <c r="J11" i="92"/>
  <c r="G61" i="45"/>
  <c r="E92" i="27"/>
  <c r="L29" i="38"/>
  <c r="H107" i="43"/>
  <c r="E26" i="69"/>
  <c r="G10" i="73"/>
  <c r="F15" i="90"/>
  <c r="E15" i="57"/>
  <c r="O30" i="53"/>
  <c r="N7" i="90"/>
  <c r="E14" i="33"/>
  <c r="D47" i="86"/>
  <c r="I70" i="81"/>
  <c r="F77" i="26"/>
  <c r="L51" i="87"/>
  <c r="N27" i="54"/>
  <c r="L36" i="41"/>
  <c r="L91" i="57"/>
  <c r="N8" i="40"/>
  <c r="M41" i="27"/>
  <c r="K29" i="64"/>
  <c r="G97" i="53"/>
  <c r="D58" i="36"/>
  <c r="G52" i="29"/>
  <c r="H97" i="79"/>
  <c r="J104"/>
  <c r="D61" i="57"/>
  <c r="K68" i="94"/>
  <c r="F58" i="44"/>
  <c r="L100" i="76"/>
  <c r="L18" i="45"/>
  <c r="N76" i="53"/>
  <c r="D98" i="52"/>
  <c r="O23" i="72"/>
  <c r="K100" i="71"/>
  <c r="I27"/>
  <c r="D103" i="91"/>
  <c r="E42" i="32"/>
  <c r="D97" i="57"/>
  <c r="F64" i="66"/>
  <c r="F31" i="52"/>
  <c r="L41" i="19"/>
  <c r="E65" i="79"/>
  <c r="O94" i="68"/>
  <c r="I104" i="58"/>
  <c r="O35" i="55"/>
  <c r="D14" i="32"/>
  <c r="L57" i="66"/>
  <c r="I54" i="90"/>
  <c r="K18"/>
  <c r="F44" i="76"/>
  <c r="F64"/>
  <c r="E23" i="74"/>
  <c r="O56" i="57"/>
  <c r="H46" i="39"/>
  <c r="L94" i="81"/>
  <c r="O95" i="45"/>
  <c r="L56" i="87"/>
  <c r="H57" i="44"/>
  <c r="K48" i="60"/>
  <c r="G34" i="61"/>
  <c r="K74" i="45"/>
  <c r="I18" i="93"/>
  <c r="H50" i="69"/>
  <c r="I107" i="52"/>
  <c r="F107" i="87"/>
  <c r="O12" i="72"/>
  <c r="E71" i="43"/>
  <c r="I43" i="53"/>
  <c r="H83" i="25"/>
  <c r="L9" i="70"/>
  <c r="I32" i="84"/>
  <c r="K30" i="47"/>
  <c r="M94" i="26"/>
  <c r="N30" i="47"/>
  <c r="G33" i="54"/>
  <c r="O101" i="29"/>
  <c r="L59" i="74"/>
  <c r="L94" i="63"/>
  <c r="F15" i="50"/>
  <c r="O8" i="56"/>
  <c r="G88" i="54"/>
  <c r="N40" i="38"/>
  <c r="E33" i="34"/>
  <c r="N22" i="62"/>
  <c r="D17" i="74"/>
  <c r="G29" i="52"/>
  <c r="E9" i="93"/>
  <c r="I34" i="57"/>
  <c r="K42" i="51"/>
  <c r="J54" i="45"/>
  <c r="E5" i="71"/>
  <c r="L17" i="61"/>
  <c r="D23" i="76"/>
  <c r="E16" i="57"/>
  <c r="J11" i="66"/>
  <c r="K8" i="34"/>
  <c r="M44" i="59"/>
  <c r="G103" i="40"/>
  <c r="J92" i="61"/>
  <c r="F16" i="29"/>
  <c r="O58" i="81"/>
  <c r="N101" i="76"/>
  <c r="H71" i="52"/>
  <c r="D59" i="58"/>
  <c r="D23" i="50"/>
  <c r="J5" i="93"/>
  <c r="K12" i="90"/>
  <c r="O79" i="34"/>
  <c r="H79" i="71"/>
  <c r="H42" i="25"/>
  <c r="I30" i="53"/>
  <c r="L61" i="78"/>
  <c r="M54" i="29"/>
  <c r="I10" i="87"/>
  <c r="L88" i="25"/>
  <c r="E6" i="62"/>
  <c r="G35" i="89"/>
  <c r="D61" i="59"/>
  <c r="L17" i="41"/>
  <c r="I46" i="65"/>
  <c r="G27" i="90"/>
  <c r="I40" i="59"/>
  <c r="K5" i="47"/>
  <c r="H94" i="51"/>
  <c r="I14" i="26"/>
  <c r="K89" i="46"/>
  <c r="M103" i="58"/>
  <c r="F104" i="42"/>
  <c r="G92" i="72"/>
  <c r="D22" i="84"/>
  <c r="H40" i="74"/>
  <c r="F40" i="41"/>
  <c r="O41" i="67"/>
  <c r="G26" i="39"/>
  <c r="G36" i="77"/>
  <c r="L20" i="29"/>
  <c r="J29" i="63"/>
  <c r="I57" i="32"/>
  <c r="G48" i="79"/>
  <c r="J7" i="50"/>
  <c r="H10" i="42"/>
  <c r="N15" i="55"/>
  <c r="N65" i="63"/>
  <c r="G23" i="43"/>
  <c r="L9" i="29"/>
  <c r="L33" i="61"/>
  <c r="F58" i="85"/>
  <c r="L16" i="84"/>
  <c r="M58" i="77"/>
  <c r="G20" i="54"/>
  <c r="N68" i="29"/>
  <c r="E11" i="62"/>
  <c r="N41" i="92"/>
  <c r="O104" i="64"/>
  <c r="I19" i="56"/>
  <c r="L14" i="73"/>
  <c r="H25" i="39"/>
  <c r="J61" i="19"/>
  <c r="N7" i="51"/>
  <c r="E40" i="64"/>
  <c r="D98" i="81"/>
  <c r="L45" i="65"/>
  <c r="D83" i="72"/>
  <c r="M74" i="84"/>
  <c r="J51" i="57"/>
  <c r="D14" i="83"/>
  <c r="D100" i="91"/>
  <c r="F10" i="74"/>
  <c r="O71" i="54"/>
  <c r="D7" i="45"/>
  <c r="L71" i="70"/>
  <c r="N17" i="82"/>
  <c r="O24" i="44"/>
  <c r="H65" i="73"/>
  <c r="J25" i="78"/>
  <c r="L37" i="25"/>
  <c r="F16" i="58"/>
  <c r="G29" i="83"/>
  <c r="M104" i="66"/>
  <c r="E23" i="36"/>
  <c r="F71" i="82"/>
  <c r="M20" i="80"/>
  <c r="D64" i="74"/>
  <c r="O59" i="30"/>
  <c r="K28" i="87"/>
  <c r="F101" i="43"/>
  <c r="G100" i="44"/>
  <c r="H88" i="55"/>
  <c r="G101" i="65"/>
  <c r="I50" i="81"/>
  <c r="J34" i="63"/>
  <c r="M46" i="76"/>
  <c r="M12" i="83"/>
  <c r="I5" i="56"/>
  <c r="N42" i="19"/>
  <c r="E35" i="63"/>
  <c r="L42" i="89"/>
  <c r="O103" i="32"/>
  <c r="H5" i="25"/>
  <c r="G39" i="70"/>
  <c r="O106" i="51"/>
  <c r="F88" i="47"/>
  <c r="M49" i="26"/>
  <c r="G16" i="35"/>
  <c r="J15" i="38"/>
  <c r="N85" i="81"/>
  <c r="O43" i="91"/>
  <c r="O38" i="27"/>
  <c r="F64" i="71"/>
  <c r="G8" i="30"/>
  <c r="I58" i="65"/>
  <c r="J13" i="26"/>
  <c r="H13" i="40"/>
  <c r="I71" i="66"/>
  <c r="H17" i="94"/>
  <c r="M22" i="92"/>
  <c r="E107" i="33"/>
  <c r="F73" i="76"/>
  <c r="M107" i="74"/>
  <c r="F21" i="93"/>
  <c r="M41" i="72"/>
  <c r="O104" i="78"/>
  <c r="H21" i="87"/>
  <c r="E104" i="57"/>
  <c r="O4" i="49"/>
  <c r="N94" i="36"/>
  <c r="O62" i="32"/>
  <c r="J28" i="77"/>
  <c r="K23" i="44"/>
  <c r="E26" i="41"/>
  <c r="H39" i="92"/>
  <c r="K15" i="40"/>
  <c r="F89" i="56"/>
  <c r="L15" i="94"/>
  <c r="K76" i="43"/>
  <c r="J95" i="65"/>
  <c r="E5" i="27"/>
  <c r="D56" i="26"/>
  <c r="F82" i="65"/>
  <c r="K52" i="62"/>
  <c r="L85" i="86"/>
  <c r="L18" i="48"/>
  <c r="G76" i="39"/>
  <c r="N67" i="60"/>
  <c r="M106" i="74"/>
  <c r="O6" i="63"/>
  <c r="H27" i="92"/>
  <c r="D30" i="73"/>
  <c r="I12" i="65"/>
  <c r="N25" i="75"/>
  <c r="G107" i="80"/>
  <c r="I65" i="32"/>
  <c r="J22" i="50"/>
  <c r="E17" i="51"/>
  <c r="E52" i="79"/>
  <c r="D100" i="45"/>
  <c r="K57" i="69"/>
  <c r="M64" i="70"/>
  <c r="O22" i="68"/>
  <c r="N86" i="53"/>
  <c r="D79" i="54"/>
  <c r="F32" i="86"/>
  <c r="O12" i="55"/>
  <c r="D12" i="35"/>
  <c r="H46" i="66"/>
  <c r="J18" i="60"/>
  <c r="F64" i="46"/>
  <c r="D98" i="45"/>
  <c r="I12" i="43"/>
  <c r="M42" i="75"/>
  <c r="E83" i="38"/>
  <c r="J83" i="94"/>
  <c r="I74" i="68"/>
  <c r="L97" i="86"/>
  <c r="H107" i="19"/>
  <c r="N55" i="72"/>
  <c r="I76" i="67"/>
  <c r="I98" i="41"/>
  <c r="H53" i="34"/>
  <c r="M64" i="33"/>
  <c r="J28" i="48"/>
  <c r="J23" i="71"/>
  <c r="F5" i="77"/>
  <c r="N92" i="75"/>
  <c r="D11" i="92"/>
  <c r="H21" i="54"/>
  <c r="M88" i="45"/>
  <c r="H52" i="80"/>
  <c r="L80" i="82"/>
  <c r="F31" i="94"/>
  <c r="J97" i="60"/>
  <c r="G56" i="52"/>
  <c r="K79" i="41"/>
  <c r="H85" i="92"/>
  <c r="H48" i="91"/>
  <c r="H51" i="94"/>
  <c r="E83" i="77"/>
  <c r="K15" i="33"/>
  <c r="J61" i="94"/>
  <c r="E53" i="80"/>
  <c r="D68" i="40"/>
  <c r="L14" i="62"/>
  <c r="H77" i="41"/>
  <c r="L97" i="65"/>
  <c r="J40" i="68"/>
  <c r="J103" i="30"/>
  <c r="J13" i="63"/>
  <c r="D46" i="26"/>
  <c r="N54" i="40"/>
  <c r="D91" i="82"/>
  <c r="M49" i="80"/>
  <c r="K48" i="84"/>
  <c r="K32" i="89"/>
  <c r="D45" i="57"/>
  <c r="D16" i="53"/>
  <c r="M77" i="56"/>
  <c r="F70" i="71"/>
  <c r="H22" i="75"/>
  <c r="N104" i="40"/>
  <c r="K4" i="94"/>
  <c r="N40" i="65"/>
  <c r="N106" i="38"/>
  <c r="N59" i="72"/>
  <c r="N22" i="70"/>
  <c r="M100" i="35"/>
  <c r="D47" i="27"/>
  <c r="O37" i="78"/>
  <c r="O58" i="41"/>
  <c r="F80" i="91"/>
  <c r="I10" i="62"/>
  <c r="N55" i="54"/>
  <c r="K59" i="53"/>
  <c r="O26" i="93"/>
  <c r="J68" i="72"/>
  <c r="D88" i="36"/>
  <c r="D23" i="55"/>
  <c r="F95" i="48"/>
  <c r="D54" i="63"/>
  <c r="H73" i="46"/>
  <c r="G70" i="59"/>
  <c r="M71" i="56"/>
  <c r="K30" i="59"/>
  <c r="M34" i="54"/>
  <c r="N85" i="57"/>
  <c r="F64" i="35"/>
  <c r="H43" i="80"/>
  <c r="E58" i="82"/>
  <c r="D62" i="41"/>
  <c r="E67" i="54"/>
  <c r="J22" i="30"/>
  <c r="E50" i="44"/>
  <c r="O17" i="41"/>
  <c r="O89" i="80"/>
  <c r="I94" i="55"/>
  <c r="D49" i="77"/>
  <c r="E41" i="67"/>
  <c r="F86"/>
  <c r="J20" i="63"/>
  <c r="O70" i="83"/>
  <c r="H37" i="36"/>
  <c r="E41" i="75"/>
  <c r="D55" i="67"/>
  <c r="H32" i="43"/>
  <c r="F18" i="80"/>
  <c r="E64" i="63"/>
  <c r="G67" i="68"/>
  <c r="F14" i="46"/>
  <c r="N25" i="92"/>
  <c r="D13" i="59"/>
  <c r="F48" i="76"/>
  <c r="K22" i="66"/>
  <c r="O43" i="46"/>
  <c r="E38" i="87"/>
  <c r="F21" i="46"/>
  <c r="E64" i="43"/>
  <c r="E98" i="57"/>
  <c r="M59" i="70"/>
  <c r="L34" i="60"/>
  <c r="E22" i="51"/>
  <c r="E11" i="30"/>
  <c r="I36" i="62"/>
  <c r="M100" i="29"/>
  <c r="H34" i="80"/>
  <c r="G92" i="77"/>
  <c r="J55" i="82"/>
  <c r="G12" i="26"/>
  <c r="L71" i="69"/>
  <c r="O28" i="77"/>
  <c r="F64" i="67"/>
  <c r="N37" i="38"/>
  <c r="F100" i="82"/>
  <c r="H16" i="53"/>
  <c r="E83" i="84"/>
  <c r="H79" i="77"/>
  <c r="M86" i="59"/>
  <c r="H14" i="87"/>
  <c r="H104" i="56"/>
  <c r="I95" i="29"/>
  <c r="L64" i="83"/>
  <c r="D95" i="87"/>
  <c r="D89" i="89"/>
  <c r="L68" i="55"/>
  <c r="J36"/>
  <c r="J36" i="26"/>
  <c r="M26" i="75"/>
  <c r="G61" i="90"/>
  <c r="F49" i="91"/>
  <c r="H28" i="33"/>
  <c r="F91" i="61"/>
  <c r="N9" i="25"/>
  <c r="L95" i="27"/>
  <c r="I34" i="92"/>
  <c r="N19" i="33"/>
  <c r="M7" i="73"/>
  <c r="K88"/>
  <c r="M4" i="92"/>
  <c r="F57" i="82"/>
  <c r="J47" i="62"/>
  <c r="G70" i="72"/>
  <c r="N7" i="94"/>
  <c r="J50" i="70"/>
  <c r="G43" i="94"/>
  <c r="I22" i="70"/>
  <c r="G67" i="91"/>
  <c r="D44" i="82"/>
  <c r="K46" i="47"/>
  <c r="E4" i="64"/>
  <c r="K39" i="65"/>
  <c r="K25" i="41"/>
  <c r="N68" i="40"/>
  <c r="M25" i="43"/>
  <c r="O28" i="74"/>
  <c r="G7" i="49"/>
  <c r="D31" i="70"/>
  <c r="N42" i="74"/>
  <c r="I85" i="77"/>
  <c r="K98" i="68"/>
  <c r="E104" i="41"/>
  <c r="H50" i="50"/>
  <c r="M94" i="59"/>
  <c r="O9" i="84"/>
  <c r="H80" i="68"/>
  <c r="H36" i="30"/>
  <c r="N45" i="66"/>
  <c r="F61" i="85"/>
  <c r="F53" i="68"/>
  <c r="N58" i="45"/>
  <c r="K56" i="47"/>
  <c r="H86" i="29"/>
  <c r="F47" i="44"/>
  <c r="M64" i="40"/>
  <c r="L49" i="53"/>
  <c r="I12" i="91"/>
  <c r="H100" i="73"/>
  <c r="L80" i="80"/>
  <c r="K64" i="57"/>
  <c r="G55" i="94"/>
  <c r="D33" i="76"/>
  <c r="F19" i="43"/>
  <c r="J92" i="29"/>
  <c r="E11" i="66"/>
  <c r="N24" i="91"/>
  <c r="G10" i="29"/>
  <c r="H36" i="67"/>
  <c r="E46" i="81"/>
  <c r="H10" i="77"/>
  <c r="J27" i="59"/>
  <c r="E46" i="19"/>
  <c r="K73" i="67"/>
  <c r="M88" i="51"/>
  <c r="M95" i="77"/>
  <c r="M31" i="81"/>
  <c r="K54"/>
  <c r="E7" i="78"/>
  <c r="G37" i="35"/>
  <c r="E8" i="41"/>
  <c r="K56" i="81"/>
  <c r="O5" i="32"/>
  <c r="G88" i="29"/>
  <c r="J92" i="30"/>
  <c r="F16" i="55"/>
  <c r="H92" i="64"/>
  <c r="O10" i="69"/>
  <c r="F71" i="58"/>
  <c r="J40" i="27"/>
  <c r="G9" i="69"/>
  <c r="M89" i="84"/>
  <c r="I8" i="90"/>
  <c r="H4" i="26"/>
  <c r="G16" i="40"/>
  <c r="M52" i="34"/>
  <c r="L50" i="87"/>
  <c r="M17" i="77"/>
  <c r="D85" i="44"/>
  <c r="K100" i="82"/>
  <c r="F24" i="36"/>
  <c r="G6" i="77"/>
  <c r="H45" i="63"/>
  <c r="K20" i="62"/>
  <c r="E33" i="41"/>
  <c r="J103" i="44"/>
  <c r="N64" i="73"/>
  <c r="L85" i="74"/>
  <c r="G97" i="73"/>
  <c r="L97" i="32"/>
  <c r="O68" i="69"/>
  <c r="F41"/>
  <c r="N68" i="80"/>
  <c r="L12" i="36"/>
  <c r="L27" i="69"/>
  <c r="N77" i="46"/>
  <c r="F48" i="35"/>
  <c r="H56" i="29"/>
  <c r="N16" i="78"/>
  <c r="I40" i="66"/>
  <c r="M5" i="41"/>
  <c r="K38" i="63"/>
  <c r="E15" i="75"/>
  <c r="F106" i="65"/>
  <c r="N73" i="30"/>
  <c r="E17" i="67"/>
  <c r="J32" i="91"/>
  <c r="G10" i="45"/>
  <c r="H104" i="69"/>
  <c r="O53" i="43"/>
  <c r="E70" i="60"/>
  <c r="D45" i="80"/>
  <c r="K61" i="64"/>
  <c r="L16" i="34"/>
  <c r="K85" i="36"/>
  <c r="N77" i="62"/>
  <c r="I97" i="48"/>
  <c r="F100" i="78"/>
  <c r="I101" i="52"/>
  <c r="I91" i="92"/>
  <c r="F92" i="86"/>
  <c r="I38" i="74"/>
  <c r="G57" i="90"/>
  <c r="G88" i="39"/>
  <c r="I43" i="84"/>
  <c r="D86" i="57"/>
  <c r="H57" i="35"/>
  <c r="O76" i="86"/>
  <c r="M28" i="46"/>
  <c r="O30" i="32"/>
  <c r="I34" i="39"/>
  <c r="I40" i="82"/>
  <c r="N13" i="70"/>
  <c r="L68" i="27"/>
  <c r="K15" i="68"/>
  <c r="J64" i="81"/>
  <c r="L37" i="77"/>
  <c r="N89" i="56"/>
  <c r="L107" i="72"/>
  <c r="K35" i="38"/>
  <c r="M36" i="71"/>
  <c r="L92" i="47"/>
  <c r="G62" i="57"/>
  <c r="J42" i="54"/>
  <c r="L21" i="72"/>
  <c r="J15" i="84"/>
  <c r="J9" i="46"/>
  <c r="D70" i="63"/>
  <c r="N31" i="56"/>
  <c r="M9" i="81"/>
  <c r="J94" i="72"/>
  <c r="F65" i="62"/>
  <c r="F86" i="60"/>
  <c r="D51" i="41"/>
  <c r="F50" i="50"/>
  <c r="O40" i="75"/>
  <c r="D44" i="57"/>
  <c r="O26" i="78"/>
  <c r="N4" i="48"/>
  <c r="J49" i="72"/>
  <c r="F82" i="63"/>
  <c r="M50" i="75"/>
  <c r="L21" i="39"/>
  <c r="E28" i="64"/>
  <c r="K26" i="65"/>
  <c r="J83" i="73"/>
  <c r="J106" i="72"/>
  <c r="D65" i="65"/>
  <c r="E36" i="44"/>
  <c r="D59" i="49"/>
  <c r="O82" i="19"/>
  <c r="O103" i="49"/>
  <c r="F38" i="64"/>
  <c r="E10" i="71"/>
  <c r="G36" i="66"/>
  <c r="G68" i="67"/>
  <c r="H17" i="72"/>
  <c r="J22" i="65"/>
  <c r="F67" i="68"/>
  <c r="I51" i="75"/>
  <c r="I80" i="79"/>
  <c r="J92" i="69"/>
  <c r="I55" i="71"/>
  <c r="H41" i="64"/>
  <c r="F56" i="85"/>
  <c r="G17" i="50"/>
  <c r="G95" i="26"/>
  <c r="M17" i="72"/>
  <c r="K18" i="59"/>
  <c r="G91" i="93"/>
  <c r="H34" i="71"/>
  <c r="H41" i="56"/>
  <c r="I31" i="67"/>
  <c r="N68" i="51"/>
  <c r="N45" i="67"/>
  <c r="H39" i="64"/>
  <c r="L30" i="70"/>
  <c r="N50" i="94"/>
  <c r="K17" i="58"/>
  <c r="K104" i="54"/>
  <c r="M10" i="91"/>
  <c r="N65" i="51"/>
  <c r="I77" i="25"/>
  <c r="G77" i="91"/>
  <c r="G59" i="76"/>
  <c r="H44" i="32"/>
  <c r="F47" i="65"/>
  <c r="L13" i="64"/>
  <c r="H12" i="72"/>
  <c r="D32" i="43"/>
  <c r="L4" i="69"/>
  <c r="K92" i="51"/>
  <c r="H32" i="36"/>
  <c r="I31" i="83"/>
  <c r="J20" i="79"/>
  <c r="F94" i="83"/>
  <c r="D17" i="46"/>
  <c r="O13" i="40"/>
  <c r="M43" i="90"/>
  <c r="E25" i="26"/>
  <c r="F98" i="76"/>
  <c r="O91" i="63"/>
  <c r="M91" i="71"/>
  <c r="O74" i="77"/>
  <c r="N71" i="86"/>
  <c r="G34" i="63"/>
  <c r="D101"/>
  <c r="D36" i="75"/>
  <c r="M40" i="41"/>
  <c r="O20" i="69"/>
  <c r="O94" i="71"/>
  <c r="D68" i="75"/>
  <c r="F43" i="76"/>
  <c r="L5" i="57"/>
  <c r="L79" i="78"/>
  <c r="M14" i="87"/>
  <c r="N89" i="41"/>
  <c r="G18" i="73"/>
  <c r="O17" i="33"/>
  <c r="J74" i="54"/>
  <c r="N4" i="38"/>
  <c r="E58" i="91"/>
  <c r="F32" i="81"/>
  <c r="D70" i="49"/>
  <c r="J10" i="81"/>
  <c r="M64" i="75"/>
  <c r="M67" i="89"/>
  <c r="E67" i="49"/>
  <c r="K5" i="73"/>
  <c r="D77" i="64"/>
  <c r="L67" i="43"/>
  <c r="I65" i="58"/>
  <c r="I83" i="32"/>
  <c r="N25" i="91"/>
  <c r="K6" i="32"/>
  <c r="M39" i="51"/>
  <c r="O38" i="71"/>
  <c r="F47" i="67"/>
  <c r="K36" i="84"/>
  <c r="O100" i="67"/>
  <c r="F57" i="92"/>
  <c r="G52" i="80"/>
  <c r="M13" i="43"/>
  <c r="F22" i="94"/>
  <c r="J6" i="68"/>
  <c r="D27" i="33"/>
  <c r="D28" i="26"/>
  <c r="J91" i="76"/>
  <c r="E31" i="53"/>
  <c r="N13" i="54"/>
  <c r="D59" i="65"/>
  <c r="F77" i="51"/>
  <c r="F6" i="25"/>
  <c r="D12" i="83"/>
  <c r="F15" i="56"/>
  <c r="O22" i="53"/>
  <c r="M23" i="62"/>
  <c r="G11" i="44"/>
  <c r="H17" i="41"/>
  <c r="J91" i="72"/>
  <c r="F106" i="46"/>
  <c r="J47" i="19"/>
  <c r="E11" i="45"/>
  <c r="I103" i="83"/>
  <c r="K12" i="26"/>
  <c r="O54" i="73"/>
  <c r="E86" i="86"/>
  <c r="H62" i="87"/>
  <c r="N47" i="64"/>
  <c r="J34" i="76"/>
  <c r="G50" i="68"/>
  <c r="J62" i="35"/>
  <c r="I28" i="19"/>
  <c r="J10" i="82"/>
  <c r="O24" i="27"/>
  <c r="F79" i="86"/>
  <c r="O80" i="30"/>
  <c r="L107" i="41"/>
  <c r="O19" i="64"/>
  <c r="E107" i="58"/>
  <c r="O9" i="38"/>
  <c r="H56" i="39"/>
  <c r="I32" i="63"/>
  <c r="F98" i="87"/>
  <c r="G64" i="44"/>
  <c r="J94" i="49"/>
  <c r="L76" i="61"/>
  <c r="I20" i="72"/>
  <c r="J19" i="29"/>
  <c r="I104" i="49"/>
  <c r="L50" i="29"/>
  <c r="D53" i="34"/>
  <c r="M52" i="66"/>
  <c r="K62" i="25"/>
  <c r="O18" i="29"/>
  <c r="E92" i="42"/>
  <c r="D101" i="53"/>
  <c r="D65" i="61"/>
  <c r="D100" i="47"/>
  <c r="D46" i="61"/>
  <c r="O91" i="72"/>
  <c r="K104" i="19"/>
  <c r="K44" i="81"/>
  <c r="D45" i="46"/>
  <c r="E28" i="81"/>
  <c r="N71" i="72"/>
  <c r="N24" i="83"/>
  <c r="K71" i="74"/>
  <c r="J12" i="47"/>
  <c r="M18" i="38"/>
  <c r="G74" i="34"/>
  <c r="G52" i="90"/>
  <c r="D71" i="63"/>
  <c r="H12" i="30"/>
  <c r="E46" i="57"/>
  <c r="E64" i="78"/>
  <c r="O26" i="86"/>
  <c r="M33" i="48"/>
  <c r="J11" i="41"/>
  <c r="M32" i="63"/>
  <c r="F61" i="64"/>
  <c r="D37" i="19"/>
  <c r="M38" i="62"/>
  <c r="I91" i="77"/>
  <c r="O97" i="26"/>
  <c r="E54" i="65"/>
  <c r="K7" i="58"/>
  <c r="G19" i="43"/>
  <c r="J92" i="82"/>
  <c r="E104" i="30"/>
  <c r="H7" i="81"/>
  <c r="G11" i="65"/>
  <c r="O29" i="58"/>
  <c r="H80" i="19"/>
  <c r="I20" i="48"/>
  <c r="K15" i="36"/>
  <c r="E41"/>
  <c r="L92" i="84"/>
  <c r="F19" i="27"/>
  <c r="H83" i="43"/>
  <c r="O41" i="54"/>
  <c r="H9" i="79"/>
  <c r="O61" i="43"/>
  <c r="M42" i="26"/>
  <c r="M13" i="61"/>
  <c r="K33" i="82"/>
  <c r="H39" i="41"/>
  <c r="M91" i="43"/>
  <c r="L23" i="71"/>
  <c r="I20" i="83"/>
  <c r="N23" i="76"/>
  <c r="F17" i="60"/>
  <c r="F27" i="78"/>
  <c r="D56" i="44"/>
  <c r="N43" i="38"/>
  <c r="D107" i="86"/>
  <c r="G10" i="78"/>
  <c r="G16" i="67"/>
  <c r="O55" i="59"/>
  <c r="F95" i="79"/>
  <c r="D79" i="67"/>
  <c r="G42" i="55"/>
  <c r="O9" i="53"/>
  <c r="J38" i="55"/>
  <c r="G13" i="90"/>
  <c r="N71" i="63"/>
  <c r="J32" i="77"/>
  <c r="K42" i="68"/>
  <c r="O4" i="51"/>
  <c r="K86" i="58"/>
  <c r="I7" i="82"/>
  <c r="E4" i="39"/>
  <c r="F38" i="61"/>
  <c r="M89" i="58"/>
  <c r="K106" i="57"/>
  <c r="G47"/>
  <c r="J28"/>
  <c r="D47" i="80"/>
  <c r="I61" i="61"/>
  <c r="J47" i="75"/>
  <c r="F68" i="33"/>
  <c r="O50" i="51"/>
  <c r="K58" i="74"/>
  <c r="D83" i="41"/>
  <c r="N46" i="56"/>
  <c r="D61" i="69"/>
  <c r="L88" i="59"/>
  <c r="K4" i="47"/>
  <c r="O28" i="51"/>
  <c r="N40" i="67"/>
  <c r="J104" i="71"/>
  <c r="L83" i="83"/>
  <c r="H31" i="78"/>
  <c r="I86" i="86"/>
  <c r="D54" i="73"/>
  <c r="D104" i="84"/>
  <c r="N19" i="45"/>
  <c r="G22" i="52"/>
  <c r="J11" i="90"/>
  <c r="G58" i="57"/>
  <c r="D67" i="72"/>
  <c r="L34" i="51"/>
  <c r="J95" i="38"/>
  <c r="E77" i="50"/>
  <c r="L65" i="46"/>
  <c r="H19"/>
  <c r="G95" i="50"/>
  <c r="M73" i="69"/>
  <c r="N100" i="82"/>
  <c r="E8" i="29"/>
  <c r="F5" i="72"/>
  <c r="I58" i="91"/>
  <c r="K43" i="74"/>
  <c r="D32" i="32"/>
  <c r="J21" i="36"/>
  <c r="D88" i="91"/>
  <c r="H39" i="34"/>
  <c r="O73" i="91"/>
  <c r="E77" i="63"/>
  <c r="E26" i="84"/>
  <c r="O61" i="72"/>
  <c r="H89" i="59"/>
  <c r="K48" i="55"/>
  <c r="K46" i="57"/>
  <c r="K32" i="46"/>
  <c r="F95" i="78"/>
  <c r="J98" i="53"/>
  <c r="F80" i="58"/>
  <c r="M43" i="70"/>
  <c r="O14" i="86"/>
  <c r="M98" i="84"/>
  <c r="D31" i="67"/>
  <c r="G22" i="42"/>
  <c r="M33" i="64"/>
  <c r="H77" i="79"/>
  <c r="N26" i="40"/>
  <c r="H10" i="82"/>
  <c r="H106" i="93"/>
  <c r="H16" i="85"/>
  <c r="N6" i="51"/>
  <c r="M70" i="47"/>
  <c r="E89" i="79"/>
  <c r="J65" i="86"/>
  <c r="G42" i="51"/>
  <c r="J46" i="92"/>
  <c r="E38" i="83"/>
  <c r="N65" i="56"/>
  <c r="H100" i="80"/>
  <c r="O59" i="44"/>
  <c r="J30" i="29"/>
  <c r="O38" i="49"/>
  <c r="H94" i="92"/>
  <c r="M47" i="58"/>
  <c r="K34" i="29"/>
  <c r="N8" i="51"/>
  <c r="G6" i="42"/>
  <c r="K88" i="81"/>
  <c r="M43" i="75"/>
  <c r="N77" i="40"/>
  <c r="D58" i="33"/>
  <c r="M43" i="30"/>
  <c r="D67" i="52"/>
  <c r="L40" i="29"/>
  <c r="E48" i="53"/>
  <c r="N106" i="67"/>
  <c r="I8" i="38"/>
  <c r="F65" i="26"/>
  <c r="O54" i="46"/>
  <c r="G30" i="94"/>
  <c r="G4" i="45"/>
  <c r="L28" i="36"/>
  <c r="F107" i="19"/>
  <c r="K38" i="48"/>
  <c r="D62" i="42"/>
  <c r="N92" i="74"/>
  <c r="E103" i="44"/>
  <c r="J100" i="63"/>
  <c r="L12" i="91"/>
  <c r="J18" i="25"/>
  <c r="F49" i="55"/>
  <c r="N37" i="68"/>
  <c r="J45" i="26"/>
  <c r="G77" i="19"/>
  <c r="I91" i="76"/>
  <c r="L18" i="72"/>
  <c r="F48" i="70"/>
  <c r="L85" i="75"/>
  <c r="H29" i="41"/>
  <c r="M85" i="63"/>
  <c r="O12" i="94"/>
  <c r="G61" i="48"/>
  <c r="E12" i="82"/>
  <c r="H31" i="77"/>
  <c r="H38" i="45"/>
  <c r="I39" i="48"/>
  <c r="H52" i="63"/>
  <c r="M70" i="84"/>
  <c r="F31" i="29"/>
  <c r="N44" i="49"/>
  <c r="F83" i="58"/>
  <c r="I67" i="73"/>
  <c r="O54" i="93"/>
  <c r="L67" i="82"/>
  <c r="D76" i="90"/>
  <c r="H40" i="61"/>
  <c r="H13" i="45"/>
  <c r="D55" i="77"/>
  <c r="H70" i="30"/>
  <c r="I59" i="52"/>
  <c r="F49" i="86"/>
  <c r="H98" i="74"/>
  <c r="F37" i="27"/>
  <c r="K98" i="39"/>
  <c r="E41" i="45"/>
  <c r="N19" i="78"/>
  <c r="M14" i="39"/>
  <c r="K29" i="44"/>
  <c r="J11" i="78"/>
  <c r="M25" i="53"/>
  <c r="L47" i="89"/>
  <c r="J76" i="51"/>
  <c r="F67" i="85"/>
  <c r="F76" i="50"/>
  <c r="O15" i="41"/>
  <c r="N18" i="77"/>
  <c r="G43" i="83"/>
  <c r="H92" i="90"/>
  <c r="N9" i="44"/>
  <c r="J86" i="66"/>
  <c r="M95" i="33"/>
  <c r="K10" i="74"/>
  <c r="J43" i="69"/>
  <c r="D80" i="36"/>
  <c r="E48" i="69"/>
  <c r="F97" i="50"/>
  <c r="J15" i="87"/>
  <c r="E20" i="54"/>
  <c r="L35" i="64"/>
  <c r="L16" i="83"/>
  <c r="G88" i="68"/>
  <c r="N47"/>
  <c r="E35" i="75"/>
  <c r="N42" i="39"/>
  <c r="H53" i="58"/>
  <c r="F20" i="56"/>
  <c r="J55" i="43"/>
  <c r="I35" i="59"/>
  <c r="E48" i="29"/>
  <c r="M82" i="58"/>
  <c r="J74" i="40"/>
  <c r="E33" i="47"/>
  <c r="D29" i="92"/>
  <c r="F76" i="74"/>
  <c r="L76" i="90"/>
  <c r="H23" i="73"/>
  <c r="E40" i="90"/>
  <c r="K79" i="48"/>
  <c r="F55" i="56"/>
  <c r="F8" i="63"/>
  <c r="K32" i="45"/>
  <c r="K68" i="59"/>
  <c r="H15" i="38"/>
  <c r="G98" i="55"/>
  <c r="G45" i="84"/>
  <c r="J19" i="54"/>
  <c r="L42" i="49"/>
  <c r="K86" i="91"/>
  <c r="F38" i="79"/>
  <c r="K56" i="62"/>
  <c r="J94" i="67"/>
  <c r="M21" i="72"/>
  <c r="O103" i="34"/>
  <c r="J56" i="89"/>
  <c r="M85" i="25"/>
  <c r="E14" i="44"/>
  <c r="F26" i="78"/>
  <c r="M88" i="93"/>
  <c r="I103" i="68"/>
  <c r="N22" i="60"/>
  <c r="G70" i="41"/>
  <c r="D10" i="70"/>
  <c r="M65" i="74"/>
  <c r="K37" i="43"/>
  <c r="N29" i="29"/>
  <c r="M51" i="67"/>
  <c r="J92" i="40"/>
  <c r="K58" i="54"/>
  <c r="H28" i="78"/>
  <c r="N23" i="38"/>
  <c r="G103" i="29"/>
  <c r="I9" i="78"/>
  <c r="O44" i="80"/>
  <c r="O68" i="66"/>
  <c r="K25"/>
  <c r="I14" i="42"/>
  <c r="J94" i="78"/>
  <c r="D47" i="43"/>
  <c r="F56" i="47"/>
  <c r="K25" i="35"/>
  <c r="I86" i="46"/>
  <c r="E89" i="26"/>
  <c r="G13" i="19"/>
  <c r="K77" i="69"/>
  <c r="M94" i="68"/>
  <c r="H55" i="64"/>
  <c r="O54" i="92"/>
  <c r="O27" i="72"/>
  <c r="L38" i="78"/>
  <c r="E85" i="58"/>
  <c r="G25" i="69"/>
  <c r="M64" i="26"/>
  <c r="F103" i="74"/>
  <c r="G30" i="51"/>
  <c r="D15" i="62"/>
  <c r="N26" i="66"/>
  <c r="F46" i="62"/>
  <c r="F98" i="66"/>
  <c r="F22" i="54"/>
  <c r="M43" i="66"/>
  <c r="L55" i="49"/>
  <c r="I15" i="90"/>
  <c r="K19" i="73"/>
  <c r="G39" i="40"/>
  <c r="N98" i="73"/>
  <c r="D4" i="27"/>
  <c r="I25" i="85"/>
  <c r="E79" i="71"/>
  <c r="H43" i="87"/>
  <c r="K4" i="59"/>
  <c r="H45" i="94"/>
  <c r="D58"/>
  <c r="G29" i="55"/>
  <c r="G31" i="80"/>
  <c r="J56" i="93"/>
  <c r="H106" i="56"/>
  <c r="J85" i="80"/>
  <c r="J34" i="70"/>
  <c r="O30" i="38"/>
  <c r="J77" i="91"/>
  <c r="M91" i="25"/>
  <c r="F44" i="82"/>
  <c r="M73" i="39"/>
  <c r="N40" i="25"/>
  <c r="K101" i="30"/>
  <c r="L26" i="92"/>
  <c r="H56" i="93"/>
  <c r="J6" i="39"/>
  <c r="G48" i="36"/>
  <c r="O64" i="59"/>
  <c r="E57" i="72"/>
  <c r="I4" i="82"/>
  <c r="L21" i="92"/>
  <c r="K58" i="56"/>
  <c r="I91" i="68"/>
  <c r="G52" i="69"/>
  <c r="M47" i="91"/>
  <c r="O4" i="87"/>
  <c r="L19" i="51"/>
  <c r="K77" i="83"/>
  <c r="M95" i="41"/>
  <c r="K37" i="55"/>
  <c r="D46" i="46"/>
  <c r="N16" i="75"/>
  <c r="H37" i="33"/>
  <c r="K80" i="60"/>
  <c r="N95" i="90"/>
  <c r="J101" i="78"/>
  <c r="H34" i="43"/>
  <c r="K4" i="75"/>
  <c r="O59" i="71"/>
  <c r="I17" i="62"/>
  <c r="I79" i="60"/>
  <c r="D17" i="55"/>
  <c r="J94" i="94"/>
  <c r="N65" i="48"/>
  <c r="I29" i="73"/>
  <c r="H88" i="51"/>
  <c r="F68" i="78"/>
  <c r="N107" i="71"/>
  <c r="K100" i="76"/>
  <c r="K26" i="72"/>
  <c r="G33" i="80"/>
  <c r="J31" i="89"/>
  <c r="G104" i="49"/>
  <c r="K27" i="30"/>
  <c r="E19" i="50"/>
  <c r="K30" i="92"/>
  <c r="D55" i="30"/>
  <c r="N7" i="73"/>
  <c r="K38" i="76"/>
  <c r="L58" i="45"/>
  <c r="M56" i="84"/>
  <c r="K11" i="78"/>
  <c r="F48" i="75"/>
  <c r="O24" i="65"/>
  <c r="H62" i="36"/>
  <c r="J85" i="75"/>
  <c r="F80" i="41"/>
  <c r="L35" i="91"/>
  <c r="O19" i="81"/>
  <c r="N41" i="35"/>
  <c r="L6" i="89"/>
  <c r="N106" i="71"/>
  <c r="I83" i="47"/>
  <c r="H82" i="26"/>
  <c r="J9" i="43"/>
  <c r="K97" i="71"/>
  <c r="L49" i="36"/>
  <c r="M54" i="26"/>
  <c r="H30" i="54"/>
  <c r="N10" i="32"/>
  <c r="O104" i="86"/>
  <c r="D13"/>
  <c r="I50" i="33"/>
  <c r="D12" i="79"/>
  <c r="N46" i="55"/>
  <c r="F14" i="51"/>
  <c r="N14" i="94"/>
  <c r="I83" i="77"/>
  <c r="J33" i="72"/>
  <c r="M27" i="92"/>
  <c r="L67" i="63"/>
  <c r="D31" i="72"/>
  <c r="O54" i="29"/>
  <c r="D91" i="91"/>
  <c r="M100" i="92"/>
  <c r="H14" i="60"/>
  <c r="F8" i="78"/>
  <c r="N23" i="41"/>
  <c r="K55" i="74"/>
  <c r="H61" i="33"/>
  <c r="F79" i="66"/>
  <c r="O82" i="30"/>
  <c r="L68" i="53"/>
  <c r="K79" i="84"/>
  <c r="N89" i="68"/>
  <c r="K55" i="57"/>
  <c r="F91" i="70"/>
  <c r="N25" i="30"/>
  <c r="G30" i="34"/>
  <c r="F91" i="50"/>
  <c r="G39" i="45"/>
  <c r="G64" i="77"/>
  <c r="H31" i="34"/>
  <c r="H58" i="27"/>
  <c r="O12" i="63"/>
  <c r="N23" i="84"/>
  <c r="J70" i="44"/>
  <c r="O67" i="29"/>
  <c r="M106" i="43"/>
  <c r="O17" i="82"/>
  <c r="G6" i="53"/>
  <c r="E73" i="94"/>
  <c r="M12" i="46"/>
  <c r="N62" i="63"/>
  <c r="N62" i="67"/>
  <c r="I89" i="30"/>
  <c r="O54" i="25"/>
  <c r="K73" i="19"/>
  <c r="M67" i="80"/>
  <c r="M16" i="86"/>
  <c r="K51" i="92"/>
  <c r="F104" i="82"/>
  <c r="F50" i="33"/>
  <c r="M38" i="77"/>
  <c r="N20" i="39"/>
  <c r="L4" i="45"/>
  <c r="I61" i="66"/>
  <c r="J65" i="82"/>
  <c r="J29" i="64"/>
  <c r="F86" i="54"/>
  <c r="L13" i="30"/>
  <c r="O61" i="94"/>
  <c r="K41" i="64"/>
  <c r="H59" i="69"/>
  <c r="J89" i="82"/>
  <c r="D27" i="40"/>
  <c r="O25" i="35"/>
  <c r="L58" i="69"/>
  <c r="I35" i="89"/>
  <c r="K56" i="74"/>
  <c r="E38" i="63"/>
  <c r="I61" i="75"/>
  <c r="E21" i="67"/>
  <c r="J54" i="61"/>
  <c r="N85" i="66"/>
  <c r="N91" i="35"/>
  <c r="J16" i="54"/>
  <c r="F42" i="84"/>
  <c r="E57" i="82"/>
  <c r="G34" i="47"/>
  <c r="I79" i="81"/>
  <c r="F82" i="52"/>
  <c r="H36" i="64"/>
  <c r="N35" i="59"/>
  <c r="N54" i="60"/>
  <c r="L46" i="27"/>
  <c r="D38" i="48"/>
  <c r="N51" i="94"/>
  <c r="D74" i="69"/>
  <c r="K21" i="80"/>
  <c r="J39" i="45"/>
  <c r="E55" i="71"/>
  <c r="I71" i="84"/>
  <c r="J61" i="30"/>
  <c r="F43" i="36"/>
  <c r="J53" i="64"/>
  <c r="E46" i="26"/>
  <c r="K97" i="54"/>
  <c r="G61" i="61"/>
  <c r="L57" i="58"/>
  <c r="M79" i="76"/>
  <c r="J98" i="56"/>
  <c r="I27" i="36"/>
  <c r="E51" i="89"/>
  <c r="L95" i="84"/>
  <c r="M38" i="47"/>
  <c r="D11" i="45"/>
  <c r="G80" i="86"/>
  <c r="D67" i="32"/>
  <c r="F57" i="44"/>
  <c r="G44"/>
  <c r="N38" i="86"/>
  <c r="K107" i="66"/>
  <c r="H59" i="83"/>
  <c r="M47" i="47"/>
  <c r="G80" i="59"/>
  <c r="O32" i="27"/>
  <c r="O27" i="82"/>
  <c r="O85" i="93"/>
  <c r="H31" i="73"/>
  <c r="H34" i="89"/>
  <c r="M47" i="34"/>
  <c r="K40" i="72"/>
  <c r="J65" i="84"/>
  <c r="L8" i="43"/>
  <c r="M45" i="49"/>
  <c r="M22" i="78"/>
  <c r="O55" i="87"/>
  <c r="K104" i="46"/>
  <c r="O70" i="74"/>
  <c r="E74" i="62"/>
  <c r="E100" i="30"/>
  <c r="G46" i="59"/>
  <c r="K6" i="57"/>
  <c r="J89" i="66"/>
  <c r="E14" i="29"/>
  <c r="J107" i="47"/>
  <c r="D45" i="60"/>
  <c r="N50" i="36"/>
  <c r="I4" i="46"/>
  <c r="M50" i="48"/>
  <c r="H25" i="56"/>
  <c r="H76" i="44"/>
  <c r="K40" i="61"/>
  <c r="M48" i="68"/>
  <c r="G51" i="27"/>
  <c r="O25" i="38"/>
  <c r="M8" i="53"/>
  <c r="J23" i="68"/>
  <c r="I6" i="64"/>
  <c r="G59" i="87"/>
  <c r="D82" i="68"/>
  <c r="L106" i="63"/>
  <c r="I103" i="43"/>
  <c r="J71" i="32"/>
  <c r="O12" i="48"/>
  <c r="G48" i="57"/>
  <c r="F94" i="56"/>
  <c r="G94" i="32"/>
  <c r="G27" i="44"/>
  <c r="H68" i="79"/>
  <c r="N58" i="58"/>
  <c r="D51" i="91"/>
  <c r="F70" i="58"/>
  <c r="H40" i="78"/>
  <c r="J70" i="91"/>
  <c r="O19" i="55"/>
  <c r="H88" i="65"/>
  <c r="E43" i="29"/>
  <c r="M27" i="75"/>
  <c r="I38" i="57"/>
  <c r="O45" i="71"/>
  <c r="M77" i="90"/>
  <c r="O27" i="66"/>
  <c r="I35" i="44"/>
  <c r="L79" i="92"/>
  <c r="L23" i="86"/>
  <c r="M95" i="29"/>
  <c r="I21" i="50"/>
  <c r="D92" i="69"/>
  <c r="G36"/>
  <c r="I43" i="44"/>
  <c r="E7" i="73"/>
  <c r="E42" i="26"/>
  <c r="E10" i="30"/>
  <c r="O13" i="38"/>
  <c r="N64" i="19"/>
  <c r="G9" i="41"/>
  <c r="N106" i="32"/>
  <c r="I30"/>
  <c r="E79" i="55"/>
  <c r="N49" i="64"/>
  <c r="E97" i="75"/>
  <c r="F104" i="63"/>
  <c r="G38" i="54"/>
  <c r="O15" i="76"/>
  <c r="H106" i="61"/>
  <c r="L101" i="48"/>
  <c r="H70" i="49"/>
  <c r="O48" i="32"/>
  <c r="O15" i="82"/>
  <c r="E34" i="27"/>
  <c r="M85" i="62"/>
  <c r="F80" i="45"/>
  <c r="E36" i="82"/>
  <c r="O13" i="93"/>
  <c r="O11" i="59"/>
  <c r="O39" i="61"/>
  <c r="J94" i="64"/>
  <c r="M64" i="84"/>
  <c r="M82" i="61"/>
  <c r="J15" i="79"/>
  <c r="L6" i="76"/>
  <c r="G74" i="59"/>
  <c r="D10" i="65"/>
  <c r="L14" i="45"/>
  <c r="E61" i="60"/>
  <c r="I51" i="69"/>
  <c r="N43" i="29"/>
  <c r="M59" i="71"/>
  <c r="O18" i="30"/>
  <c r="H74" i="42"/>
  <c r="E50" i="45"/>
  <c r="I98" i="40"/>
  <c r="K38" i="78"/>
  <c r="D27" i="85"/>
  <c r="D28" i="83"/>
  <c r="H6"/>
  <c r="H19" i="78"/>
  <c r="D65" i="79"/>
  <c r="M85" i="40"/>
  <c r="E29" i="75"/>
  <c r="F5" i="79"/>
  <c r="O98" i="72"/>
  <c r="H47" i="75"/>
  <c r="F58" i="92"/>
  <c r="N26" i="94"/>
  <c r="N67" i="40"/>
  <c r="H89" i="73"/>
  <c r="O71" i="58"/>
  <c r="M64" i="36"/>
  <c r="O37" i="33"/>
  <c r="G42" i="90"/>
  <c r="N36" i="91"/>
  <c r="H26" i="73"/>
  <c r="O27" i="87"/>
  <c r="K91" i="66"/>
  <c r="G43" i="47"/>
  <c r="L55" i="77"/>
  <c r="O95" i="69"/>
  <c r="I13" i="84"/>
  <c r="L23" i="34"/>
  <c r="F23" i="68"/>
  <c r="I56" i="35"/>
  <c r="G92" i="62"/>
  <c r="M37" i="72"/>
  <c r="O61" i="71"/>
  <c r="F10" i="33"/>
  <c r="G77" i="65"/>
  <c r="L76" i="78"/>
  <c r="K79" i="86"/>
  <c r="J65" i="68"/>
  <c r="K95" i="48"/>
  <c r="F5" i="25"/>
  <c r="M29" i="30"/>
  <c r="G12" i="29"/>
  <c r="K101" i="35"/>
  <c r="M100" i="86"/>
  <c r="M23" i="32"/>
  <c r="I62" i="53"/>
  <c r="L107" i="92"/>
  <c r="K8" i="57"/>
  <c r="E51" i="62"/>
  <c r="H70" i="60"/>
  <c r="I51" i="61"/>
  <c r="J6" i="57"/>
  <c r="N22" i="26"/>
  <c r="O6" i="91"/>
  <c r="L79" i="38"/>
  <c r="I7" i="74"/>
  <c r="L41" i="86"/>
  <c r="D13" i="36"/>
  <c r="O98"/>
  <c r="L101" i="74"/>
  <c r="G71" i="54"/>
  <c r="L91" i="43"/>
  <c r="D45" i="78"/>
  <c r="M54" i="25"/>
  <c r="J50" i="91"/>
  <c r="D101" i="41"/>
  <c r="M85" i="68"/>
  <c r="K67" i="77"/>
  <c r="E30" i="53"/>
  <c r="J10" i="87"/>
  <c r="K61" i="45"/>
  <c r="F4" i="94"/>
  <c r="I52" i="42"/>
  <c r="D97" i="33"/>
  <c r="L74" i="81"/>
  <c r="G56" i="41"/>
  <c r="H101" i="79"/>
  <c r="L62" i="63"/>
  <c r="N38"/>
  <c r="G21" i="89"/>
  <c r="N31" i="71"/>
  <c r="H49" i="32"/>
  <c r="H86" i="59"/>
  <c r="I88" i="27"/>
  <c r="I91" i="34"/>
  <c r="F6" i="89"/>
  <c r="J56" i="91"/>
  <c r="I13" i="39"/>
  <c r="J95" i="74"/>
  <c r="J88" i="39"/>
  <c r="F79" i="68"/>
  <c r="H45" i="78"/>
  <c r="I56" i="66"/>
  <c r="G48" i="68"/>
  <c r="H107" i="91"/>
  <c r="N74" i="27"/>
  <c r="K27" i="41"/>
  <c r="M18" i="77"/>
  <c r="I95" i="33"/>
  <c r="K95" i="59"/>
  <c r="O18" i="60"/>
  <c r="F5" i="82"/>
  <c r="H64" i="64"/>
  <c r="J59" i="49"/>
  <c r="K40" i="43"/>
  <c r="K94" i="84"/>
  <c r="J13" i="65"/>
  <c r="F28" i="35"/>
  <c r="F19" i="81"/>
  <c r="N34" i="77"/>
  <c r="D12" i="34"/>
  <c r="I45" i="78"/>
  <c r="L77" i="49"/>
  <c r="H7" i="61"/>
  <c r="O21" i="65"/>
  <c r="M39" i="29"/>
  <c r="N49" i="69"/>
  <c r="L42" i="94"/>
  <c r="M59" i="68"/>
  <c r="N70" i="54"/>
  <c r="O46" i="36"/>
  <c r="J51" i="45"/>
  <c r="O55" i="63"/>
  <c r="L32" i="75"/>
  <c r="M68" i="43"/>
  <c r="J14" i="84"/>
  <c r="G53" i="40"/>
  <c r="F9" i="91"/>
  <c r="O91" i="70"/>
  <c r="K92" i="33"/>
  <c r="D100" i="85"/>
  <c r="I80" i="29"/>
  <c r="F89" i="63"/>
  <c r="H32" i="92"/>
  <c r="N43" i="89"/>
  <c r="O85" i="54"/>
  <c r="L34" i="92"/>
  <c r="L54" i="72"/>
  <c r="F89" i="68"/>
  <c r="F76" i="77"/>
  <c r="M10" i="49"/>
  <c r="E29" i="60"/>
  <c r="J35" i="51"/>
  <c r="J34" i="54"/>
  <c r="J12" i="61"/>
  <c r="O56" i="60"/>
  <c r="E83" i="49"/>
  <c r="L5" i="71"/>
  <c r="K76" i="51"/>
  <c r="F30" i="27"/>
  <c r="J77" i="77"/>
  <c r="N80" i="75"/>
  <c r="J11" i="61"/>
  <c r="F52" i="51"/>
  <c r="D91" i="36"/>
  <c r="E17" i="87"/>
  <c r="O6" i="26"/>
  <c r="O27" i="56"/>
  <c r="E92" i="32"/>
  <c r="I16" i="91"/>
  <c r="E5" i="59"/>
  <c r="F61" i="62"/>
  <c r="K53" i="66"/>
  <c r="E21" i="63"/>
  <c r="J7" i="39"/>
  <c r="G42" i="67"/>
  <c r="K101" i="55"/>
  <c r="D89" i="76"/>
  <c r="J32"/>
  <c r="N14" i="26"/>
  <c r="E50" i="39"/>
  <c r="M94" i="57"/>
  <c r="I83" i="54"/>
  <c r="M35" i="84"/>
  <c r="L68" i="78"/>
  <c r="E57" i="41"/>
  <c r="G12" i="52"/>
  <c r="I41" i="70"/>
  <c r="H104" i="35"/>
  <c r="D61" i="67"/>
  <c r="K53" i="81"/>
  <c r="G57" i="48"/>
  <c r="E20" i="87"/>
  <c r="M42" i="53"/>
  <c r="H101" i="85"/>
  <c r="N68" i="56"/>
  <c r="I15" i="35"/>
  <c r="N95" i="77"/>
  <c r="G85" i="43"/>
  <c r="J97" i="26"/>
  <c r="G101" i="47"/>
  <c r="F41" i="48"/>
  <c r="I18" i="34"/>
  <c r="F24" i="43"/>
  <c r="G6" i="51"/>
  <c r="E55" i="65"/>
  <c r="H47" i="80"/>
  <c r="F59" i="40"/>
  <c r="J74" i="48"/>
  <c r="D40" i="92"/>
  <c r="N89" i="51"/>
  <c r="N37" i="64"/>
  <c r="I94" i="43"/>
  <c r="H107" i="46"/>
  <c r="N41" i="45"/>
  <c r="F27" i="85"/>
  <c r="O11" i="25"/>
  <c r="O62" i="90"/>
  <c r="M73" i="80"/>
  <c r="K71" i="44"/>
  <c r="F86" i="53"/>
  <c r="E36" i="55"/>
  <c r="G103" i="83"/>
  <c r="J21" i="78"/>
  <c r="L41" i="94"/>
  <c r="K42" i="54"/>
  <c r="D89" i="63"/>
  <c r="K61" i="47"/>
  <c r="N11" i="66"/>
  <c r="D44" i="63"/>
  <c r="O44" i="72"/>
  <c r="M83" i="75"/>
  <c r="F8" i="36"/>
  <c r="L34" i="30"/>
  <c r="G16" i="46"/>
  <c r="K106" i="33"/>
  <c r="I62" i="61"/>
  <c r="F61" i="43"/>
  <c r="N12" i="70"/>
  <c r="G104" i="26"/>
  <c r="G44" i="32"/>
  <c r="K91" i="47"/>
  <c r="M46" i="65"/>
  <c r="H95" i="45"/>
  <c r="F97" i="73"/>
  <c r="J22" i="69"/>
  <c r="F19" i="55"/>
  <c r="E46"/>
  <c r="L53" i="68"/>
  <c r="G61" i="25"/>
  <c r="L101" i="58"/>
  <c r="K77" i="27"/>
  <c r="L30" i="68"/>
  <c r="J82" i="78"/>
  <c r="D46" i="48"/>
  <c r="M76" i="92"/>
  <c r="F43" i="46"/>
  <c r="M7" i="36"/>
  <c r="H49" i="52"/>
  <c r="F39" i="92"/>
  <c r="G13" i="67"/>
  <c r="E92" i="86"/>
  <c r="G56" i="94"/>
  <c r="K43" i="78"/>
  <c r="O8" i="41"/>
  <c r="H28" i="60"/>
  <c r="L107" i="82"/>
  <c r="F38" i="78"/>
  <c r="G31" i="39"/>
  <c r="I55" i="54"/>
  <c r="O32" i="65"/>
  <c r="N74" i="72"/>
  <c r="J107" i="65"/>
  <c r="L68" i="36"/>
  <c r="M79" i="26"/>
  <c r="F85" i="62"/>
  <c r="F30" i="76"/>
  <c r="D10" i="80"/>
  <c r="M12" i="76"/>
  <c r="H6" i="59"/>
  <c r="K71"/>
  <c r="K22" i="57"/>
  <c r="L64" i="60"/>
  <c r="H41" i="77"/>
  <c r="O56" i="43"/>
  <c r="J15" i="56"/>
  <c r="D46" i="81"/>
  <c r="H22" i="25"/>
  <c r="F101" i="72"/>
  <c r="K34" i="76"/>
  <c r="F64" i="39"/>
  <c r="O25" i="82"/>
  <c r="G34" i="32"/>
  <c r="N91" i="27"/>
  <c r="F80" i="92"/>
  <c r="I31" i="85"/>
  <c r="G38" i="52"/>
  <c r="F49" i="65"/>
  <c r="M51" i="60"/>
  <c r="H57" i="81"/>
  <c r="G32" i="78"/>
  <c r="M74" i="49"/>
  <c r="J26" i="75"/>
  <c r="H13" i="49"/>
  <c r="L91" i="89"/>
  <c r="K46" i="34"/>
  <c r="I76" i="84"/>
  <c r="F20" i="53"/>
  <c r="E51" i="33"/>
  <c r="G94" i="53"/>
  <c r="D74" i="26"/>
  <c r="E20" i="66"/>
  <c r="I20" i="82"/>
  <c r="O98" i="34"/>
  <c r="O88" i="80"/>
  <c r="L53" i="70"/>
  <c r="O43" i="33"/>
  <c r="I35" i="57"/>
  <c r="M83" i="19"/>
  <c r="M101" i="73"/>
  <c r="O92" i="59"/>
  <c r="K41" i="34"/>
  <c r="F71" i="30"/>
  <c r="J95" i="29"/>
  <c r="G11" i="68"/>
  <c r="O95" i="43"/>
  <c r="K19" i="80"/>
  <c r="N38" i="38"/>
  <c r="G94" i="66"/>
  <c r="O42" i="68"/>
  <c r="J53" i="78"/>
  <c r="H101" i="36"/>
  <c r="D13" i="38"/>
  <c r="O18" i="54"/>
  <c r="N36" i="75"/>
  <c r="F32" i="63"/>
  <c r="G79" i="64"/>
  <c r="L39" i="84"/>
  <c r="H48" i="62"/>
  <c r="M62" i="57"/>
  <c r="H85" i="46"/>
  <c r="D56" i="90"/>
  <c r="I94" i="38"/>
  <c r="K36" i="54"/>
  <c r="I80" i="84"/>
  <c r="L101" i="72"/>
  <c r="H23" i="26"/>
  <c r="D28" i="42"/>
  <c r="F40" i="79"/>
  <c r="D42" i="34"/>
  <c r="I9" i="77"/>
  <c r="G46" i="50"/>
  <c r="E68" i="71"/>
  <c r="K10" i="38"/>
  <c r="F83" i="19"/>
  <c r="E8"/>
  <c r="O44" i="87"/>
  <c r="O38" i="69"/>
  <c r="M92" i="61"/>
  <c r="J43" i="91"/>
  <c r="D25" i="53"/>
  <c r="I29" i="36"/>
  <c r="E16" i="59"/>
  <c r="M53" i="94"/>
  <c r="D37" i="72"/>
  <c r="E88" i="55"/>
  <c r="I38" i="60"/>
  <c r="E6" i="35"/>
  <c r="L79" i="71"/>
  <c r="N103" i="89"/>
  <c r="H19" i="79"/>
  <c r="F68" i="56"/>
  <c r="K48" i="27"/>
  <c r="E80" i="33"/>
  <c r="M14" i="69"/>
  <c r="O8" i="70"/>
  <c r="L4" i="89"/>
  <c r="J6" i="93"/>
  <c r="G31" i="82"/>
  <c r="D13" i="30"/>
  <c r="K86" i="65"/>
  <c r="E24" i="48"/>
  <c r="F29" i="91"/>
  <c r="L9" i="80"/>
  <c r="E85" i="91"/>
  <c r="L33" i="57"/>
  <c r="K100" i="25"/>
  <c r="M61" i="55"/>
  <c r="K7" i="71"/>
  <c r="I106" i="19"/>
  <c r="I14" i="67"/>
  <c r="L86" i="90"/>
  <c r="F15" i="69"/>
  <c r="O50" i="27"/>
  <c r="N45" i="93"/>
  <c r="E71" i="48"/>
  <c r="E25" i="52"/>
  <c r="E95" i="27"/>
  <c r="M26" i="63"/>
  <c r="D46" i="67"/>
  <c r="O16" i="77"/>
  <c r="H49" i="54"/>
  <c r="H61" i="80"/>
  <c r="K51" i="40"/>
  <c r="L77" i="69"/>
  <c r="I23" i="79"/>
  <c r="L88" i="83"/>
  <c r="D59" i="36"/>
  <c r="M31" i="68"/>
  <c r="F77" i="33"/>
  <c r="O18" i="90"/>
  <c r="H49" i="51"/>
  <c r="N100" i="26"/>
  <c r="L39" i="82"/>
  <c r="K32" i="76"/>
  <c r="E38" i="44"/>
  <c r="D37" i="83"/>
  <c r="K92" i="94"/>
  <c r="F80" i="83"/>
  <c r="L36" i="71"/>
  <c r="N23" i="87"/>
  <c r="O76" i="76"/>
  <c r="I45" i="53"/>
  <c r="N12" i="41"/>
  <c r="L58" i="25"/>
  <c r="K62" i="92"/>
  <c r="I58" i="80"/>
  <c r="O30" i="27"/>
  <c r="O76" i="26"/>
  <c r="H103" i="66"/>
  <c r="I11" i="79"/>
  <c r="M48" i="57"/>
  <c r="F31" i="80"/>
  <c r="L48" i="72"/>
  <c r="G91" i="42"/>
  <c r="N54" i="27"/>
  <c r="N65"/>
  <c r="N22" i="76"/>
  <c r="M16" i="77"/>
  <c r="H55" i="85"/>
  <c r="E70" i="48"/>
  <c r="O57" i="26"/>
  <c r="O9" i="89"/>
  <c r="H86" i="82"/>
  <c r="F91" i="86"/>
  <c r="O64" i="91"/>
  <c r="E47" i="51"/>
  <c r="M92" i="75"/>
  <c r="D14" i="87"/>
  <c r="D17" i="91"/>
  <c r="O10" i="74"/>
  <c r="G61"/>
  <c r="H18" i="47"/>
  <c r="L76" i="91"/>
  <c r="G5" i="50"/>
  <c r="I18" i="75"/>
  <c r="H20" i="86"/>
  <c r="G97" i="34"/>
  <c r="F14" i="32"/>
  <c r="F56" i="93"/>
  <c r="H22" i="65"/>
  <c r="G43" i="84"/>
  <c r="L51" i="63"/>
  <c r="M45" i="27"/>
  <c r="F101" i="38"/>
  <c r="G71" i="78"/>
  <c r="L25" i="33"/>
  <c r="D9" i="75"/>
  <c r="L42" i="57"/>
  <c r="I89" i="34"/>
  <c r="I35" i="66"/>
  <c r="L86" i="74"/>
  <c r="H9" i="85"/>
  <c r="O12" i="73"/>
  <c r="O82" i="84"/>
  <c r="M4" i="87"/>
  <c r="N15" i="60"/>
  <c r="E47" i="55"/>
  <c r="G52" i="91"/>
  <c r="J76" i="65"/>
  <c r="K8" i="33"/>
  <c r="J18" i="45"/>
  <c r="D41" i="30"/>
  <c r="L23" i="40"/>
  <c r="E25" i="84"/>
  <c r="O46" i="47"/>
  <c r="M103" i="68"/>
  <c r="H64" i="77"/>
  <c r="O42" i="71"/>
  <c r="M85" i="61"/>
  <c r="O22" i="56"/>
  <c r="N89" i="58"/>
  <c r="F13" i="30"/>
  <c r="E92"/>
  <c r="E64" i="74"/>
  <c r="G56" i="87"/>
  <c r="L17" i="81"/>
  <c r="D65" i="60"/>
  <c r="L21" i="84"/>
  <c r="O62" i="44"/>
  <c r="G64" i="36"/>
  <c r="D18" i="78"/>
  <c r="G77" i="77"/>
  <c r="E24" i="43"/>
  <c r="O67" i="67"/>
  <c r="L98" i="54"/>
  <c r="I46" i="77"/>
  <c r="J71" i="87"/>
  <c r="E5" i="72"/>
  <c r="E91" i="50"/>
  <c r="O65" i="87"/>
  <c r="L67" i="59"/>
  <c r="G6" i="50"/>
  <c r="L24" i="19"/>
  <c r="G77" i="49"/>
  <c r="I11" i="36"/>
  <c r="E15" i="68"/>
  <c r="I15" i="65"/>
  <c r="G52"/>
  <c r="N35" i="81"/>
  <c r="J51" i="50"/>
  <c r="G37" i="72"/>
  <c r="I16" i="33"/>
  <c r="J22" i="75"/>
  <c r="O43" i="39"/>
  <c r="N46" i="77"/>
  <c r="D23" i="52"/>
  <c r="O85" i="57"/>
  <c r="D38" i="46"/>
  <c r="H18" i="54"/>
  <c r="K101" i="47"/>
  <c r="I57" i="73"/>
  <c r="O22" i="92"/>
  <c r="D11" i="52"/>
  <c r="G86" i="91"/>
  <c r="F35" i="73"/>
  <c r="I36" i="89"/>
  <c r="L34" i="57"/>
  <c r="L40" i="60"/>
  <c r="M57" i="74"/>
  <c r="M62" i="84"/>
  <c r="E44" i="42"/>
  <c r="G74" i="41"/>
  <c r="D79" i="57"/>
  <c r="H100" i="64"/>
  <c r="O43" i="66"/>
  <c r="D76" i="26"/>
  <c r="H70" i="61"/>
  <c r="F80" i="55"/>
  <c r="H9" i="89"/>
  <c r="M92" i="29"/>
  <c r="F41" i="30"/>
  <c r="G100" i="43"/>
  <c r="K89" i="71"/>
  <c r="D26" i="58"/>
  <c r="H51" i="81"/>
  <c r="I94" i="79"/>
  <c r="F10" i="94"/>
  <c r="D4" i="62"/>
  <c r="L39" i="91"/>
  <c r="G18" i="30"/>
  <c r="O57" i="25"/>
  <c r="L88" i="80"/>
  <c r="G48" i="41"/>
  <c r="G10" i="49"/>
  <c r="I31" i="59"/>
  <c r="O74" i="76"/>
  <c r="I79" i="68"/>
  <c r="E91" i="74"/>
  <c r="O92" i="90"/>
  <c r="H36" i="89"/>
  <c r="G33" i="82"/>
  <c r="M41" i="81"/>
  <c r="F13" i="66"/>
  <c r="L54" i="48"/>
  <c r="I37" i="27"/>
  <c r="E27" i="43"/>
  <c r="H36" i="61"/>
  <c r="F95" i="94"/>
  <c r="I92" i="71"/>
  <c r="G41" i="69"/>
  <c r="E64" i="39"/>
  <c r="G24" i="51"/>
  <c r="K25" i="58"/>
  <c r="G48" i="45"/>
  <c r="N39" i="26"/>
  <c r="J43" i="48"/>
  <c r="F35" i="72"/>
  <c r="H70" i="78"/>
  <c r="O65" i="63"/>
  <c r="D91" i="19"/>
  <c r="G24" i="29"/>
  <c r="J73"/>
  <c r="D83" i="66"/>
  <c r="E100" i="40"/>
  <c r="I13" i="52"/>
  <c r="H86" i="61"/>
  <c r="D16" i="83"/>
  <c r="N43" i="92"/>
  <c r="D9" i="39"/>
  <c r="K32" i="47"/>
  <c r="E103" i="26"/>
  <c r="G49" i="32"/>
  <c r="O79" i="40"/>
  <c r="O27" i="54"/>
  <c r="M57" i="46"/>
  <c r="I97" i="45"/>
  <c r="E26" i="63"/>
  <c r="L23" i="64"/>
  <c r="G11"/>
  <c r="M43" i="59"/>
  <c r="O82" i="91"/>
  <c r="L42" i="67"/>
  <c r="G95" i="54"/>
  <c r="K94" i="76"/>
  <c r="L39" i="70"/>
  <c r="K45" i="26"/>
  <c r="H104" i="34"/>
  <c r="N77" i="70"/>
  <c r="H70" i="38"/>
  <c r="J32" i="32"/>
  <c r="N38" i="84"/>
  <c r="E25" i="66"/>
  <c r="L95" i="58"/>
  <c r="J8" i="54"/>
  <c r="I82" i="44"/>
  <c r="F26" i="49"/>
  <c r="D52" i="29"/>
  <c r="G9" i="90"/>
  <c r="F7" i="39"/>
  <c r="M24" i="90"/>
  <c r="G39" i="36"/>
  <c r="M52" i="19"/>
  <c r="K33" i="80"/>
  <c r="D92" i="53"/>
  <c r="N34" i="48"/>
  <c r="I28" i="47"/>
  <c r="J44" i="87"/>
  <c r="G9" i="58"/>
  <c r="E37" i="30"/>
  <c r="O59" i="73"/>
  <c r="N51" i="36"/>
  <c r="L82" i="68"/>
  <c r="E40" i="34"/>
  <c r="F56" i="46"/>
  <c r="G104" i="75"/>
  <c r="E76" i="92"/>
  <c r="M82" i="65"/>
  <c r="K97" i="32"/>
  <c r="E17" i="49"/>
  <c r="H100" i="33"/>
  <c r="M24" i="49"/>
  <c r="L54" i="55"/>
  <c r="K5" i="71"/>
  <c r="I71" i="29"/>
  <c r="D73" i="76"/>
  <c r="K68" i="33"/>
  <c r="J28" i="66"/>
  <c r="G50" i="86"/>
  <c r="K85" i="77"/>
  <c r="H92"/>
  <c r="D39" i="73"/>
  <c r="E73" i="79"/>
  <c r="O28" i="84"/>
  <c r="D38" i="27"/>
  <c r="I46" i="84"/>
  <c r="F30" i="87"/>
  <c r="I32" i="38"/>
  <c r="N45" i="58"/>
  <c r="E76" i="61"/>
  <c r="K38" i="74"/>
  <c r="F62" i="76"/>
  <c r="L12" i="74"/>
  <c r="F91" i="41"/>
  <c r="N14" i="25"/>
  <c r="K91" i="45"/>
  <c r="I44" i="57"/>
  <c r="L88"/>
  <c r="I82" i="41"/>
  <c r="O85" i="77"/>
  <c r="M4" i="48"/>
  <c r="J67" i="61"/>
  <c r="J8" i="53"/>
  <c r="K51" i="67"/>
  <c r="H19" i="89"/>
  <c r="M49" i="56"/>
  <c r="F46" i="54"/>
  <c r="K94" i="90"/>
  <c r="D91" i="33"/>
  <c r="O101" i="76"/>
  <c r="H38" i="51"/>
  <c r="E52" i="36"/>
  <c r="N92" i="77"/>
  <c r="O61" i="63"/>
  <c r="G73" i="93"/>
  <c r="K95" i="46"/>
  <c r="E80" i="92"/>
  <c r="H42" i="81"/>
  <c r="F52" i="26"/>
  <c r="E55" i="34"/>
  <c r="K31" i="30"/>
  <c r="F95" i="65"/>
  <c r="M38" i="36"/>
  <c r="L13" i="26"/>
  <c r="N41" i="44"/>
  <c r="G51" i="36"/>
  <c r="D58" i="54"/>
  <c r="M12" i="48"/>
  <c r="I98" i="92"/>
  <c r="M28" i="62"/>
  <c r="D57" i="65"/>
  <c r="G10" i="83"/>
  <c r="J89" i="76"/>
  <c r="H89" i="61"/>
  <c r="K76" i="38"/>
  <c r="E15" i="93"/>
  <c r="L70" i="36"/>
  <c r="L50" i="41"/>
  <c r="F57" i="61"/>
  <c r="D23" i="38"/>
  <c r="M21" i="60"/>
  <c r="O14" i="58"/>
  <c r="H59" i="36"/>
  <c r="I103" i="19"/>
  <c r="M92" i="84"/>
  <c r="G13" i="62"/>
  <c r="L74" i="45"/>
  <c r="K15" i="43"/>
  <c r="D10" i="67"/>
  <c r="N11" i="91"/>
  <c r="G12" i="55"/>
  <c r="D85" i="26"/>
  <c r="F89" i="48"/>
  <c r="J92" i="56"/>
  <c r="D79" i="33"/>
  <c r="I92" i="50"/>
  <c r="N67" i="66"/>
  <c r="K31" i="44"/>
  <c r="L71" i="19"/>
  <c r="M103" i="46"/>
  <c r="G23" i="87"/>
  <c r="I19"/>
  <c r="E30" i="69"/>
  <c r="K33" i="68"/>
  <c r="I4" i="52"/>
  <c r="H94" i="69"/>
  <c r="E92" i="52"/>
  <c r="E65" i="85"/>
  <c r="K62" i="35"/>
  <c r="G54" i="90"/>
  <c r="O11" i="51"/>
  <c r="L70" i="30"/>
  <c r="G34" i="62"/>
  <c r="E74" i="77"/>
  <c r="N54" i="43"/>
  <c r="G58" i="94"/>
  <c r="G5" i="46"/>
  <c r="F25" i="86"/>
  <c r="F4" i="32"/>
  <c r="F67" i="38"/>
  <c r="G49" i="79"/>
  <c r="M56" i="36"/>
  <c r="F12" i="33"/>
  <c r="N50" i="53"/>
  <c r="K100" i="66"/>
  <c r="J44" i="51"/>
  <c r="I82" i="43"/>
  <c r="J45" i="54"/>
  <c r="M39" i="65"/>
  <c r="I27" i="46"/>
  <c r="H10" i="92"/>
  <c r="J9" i="38"/>
  <c r="O16" i="83"/>
  <c r="M79" i="34"/>
  <c r="J47" i="56"/>
  <c r="H97" i="65"/>
  <c r="I101" i="39"/>
  <c r="F101" i="44"/>
  <c r="I18" i="26"/>
  <c r="J8" i="68"/>
  <c r="H26" i="54"/>
  <c r="I30" i="30"/>
  <c r="G40" i="94"/>
  <c r="D27" i="27"/>
  <c r="H55" i="47"/>
  <c r="I68" i="51"/>
  <c r="K65" i="27"/>
  <c r="O16" i="49"/>
  <c r="H54" i="63"/>
  <c r="N38" i="76"/>
  <c r="D47" i="90"/>
  <c r="I15" i="71"/>
  <c r="N107" i="57"/>
  <c r="O56" i="58"/>
  <c r="G76" i="76"/>
  <c r="K6" i="30"/>
  <c r="D88" i="54"/>
  <c r="J29" i="60"/>
  <c r="D29" i="76"/>
  <c r="D107" i="65"/>
  <c r="M79" i="66"/>
  <c r="G56" i="70"/>
  <c r="L16" i="62"/>
  <c r="E103" i="73"/>
  <c r="F7" i="77"/>
  <c r="J18" i="50"/>
  <c r="M19" i="80"/>
  <c r="H77" i="49"/>
  <c r="N52" i="89"/>
  <c r="H46" i="77"/>
  <c r="L80" i="35"/>
  <c r="M29" i="26"/>
  <c r="M45" i="84"/>
  <c r="G5" i="68"/>
  <c r="D26" i="83"/>
  <c r="F79" i="25"/>
  <c r="H14" i="90"/>
  <c r="G26" i="52"/>
  <c r="E9" i="72"/>
  <c r="M24" i="60"/>
  <c r="E13" i="55"/>
  <c r="H13" i="74"/>
  <c r="G97" i="59"/>
  <c r="H25" i="64"/>
  <c r="J5" i="70"/>
  <c r="L37" i="40"/>
  <c r="L48" i="27"/>
  <c r="G25" i="89"/>
  <c r="F53" i="75"/>
  <c r="N85" i="76"/>
  <c r="M23" i="33"/>
  <c r="I36" i="66"/>
  <c r="E25" i="39"/>
  <c r="K35" i="46"/>
  <c r="H64" i="62"/>
  <c r="K41" i="72"/>
  <c r="H80" i="79"/>
  <c r="E9" i="54"/>
  <c r="G97" i="76"/>
  <c r="F10" i="78"/>
  <c r="H106" i="26"/>
  <c r="F100" i="74"/>
  <c r="I27" i="39"/>
  <c r="O61" i="78"/>
  <c r="M77" i="69"/>
  <c r="N71" i="35"/>
  <c r="J54" i="83"/>
  <c r="I47" i="34"/>
  <c r="K80" i="39"/>
  <c r="N92" i="58"/>
  <c r="I94" i="81"/>
  <c r="D26" i="36"/>
  <c r="O20" i="54"/>
  <c r="G31" i="47"/>
  <c r="M10" i="89"/>
  <c r="F13" i="62"/>
  <c r="D16" i="91"/>
  <c r="G91" i="86"/>
  <c r="I13" i="92"/>
  <c r="H88" i="25"/>
  <c r="D18" i="66"/>
  <c r="I47" i="78"/>
  <c r="F85" i="82"/>
  <c r="I11" i="94"/>
  <c r="D11" i="74"/>
  <c r="H58" i="81"/>
  <c r="I4" i="42"/>
  <c r="F54" i="94"/>
  <c r="F100" i="52"/>
  <c r="D101" i="48"/>
  <c r="M91" i="82"/>
  <c r="H101" i="78"/>
  <c r="N82" i="63"/>
  <c r="O39" i="25"/>
  <c r="G4" i="58"/>
  <c r="I67" i="74"/>
  <c r="J32" i="70"/>
  <c r="J52" i="64"/>
  <c r="M50" i="19"/>
  <c r="E74" i="49"/>
  <c r="J4" i="63"/>
  <c r="J79" i="62"/>
  <c r="D95" i="75"/>
  <c r="H23" i="59"/>
  <c r="F29" i="61"/>
  <c r="J94"/>
  <c r="E82" i="81"/>
  <c r="J10" i="25"/>
  <c r="G12" i="74"/>
  <c r="I77" i="71"/>
  <c r="J35" i="65"/>
  <c r="H92" i="87"/>
  <c r="H31" i="27"/>
  <c r="I80" i="70"/>
  <c r="M73" i="45"/>
  <c r="E42" i="73"/>
  <c r="N37" i="67"/>
  <c r="F89" i="33"/>
  <c r="N58" i="36"/>
  <c r="M39" i="70"/>
  <c r="I65" i="29"/>
  <c r="M42" i="47"/>
  <c r="I101" i="35"/>
  <c r="F20" i="19"/>
  <c r="J54" i="72"/>
  <c r="F13" i="46"/>
  <c r="D53" i="32"/>
  <c r="H33" i="75"/>
  <c r="E86" i="73"/>
  <c r="K21" i="55"/>
  <c r="D98" i="71"/>
  <c r="E20" i="64"/>
  <c r="M74" i="94"/>
  <c r="L83" i="74"/>
  <c r="H88" i="56"/>
  <c r="J68" i="73"/>
  <c r="F83" i="57"/>
  <c r="I24" i="84"/>
  <c r="G104" i="62"/>
  <c r="H26" i="86"/>
  <c r="F6" i="30"/>
  <c r="L50" i="72"/>
  <c r="F27" i="59"/>
  <c r="N37" i="25"/>
  <c r="K95" i="76"/>
  <c r="O30" i="25"/>
  <c r="J18" i="41"/>
  <c r="H98" i="77"/>
  <c r="J36" i="47"/>
  <c r="N10" i="51"/>
  <c r="J26" i="40"/>
  <c r="I44" i="92"/>
  <c r="L49" i="34"/>
  <c r="N8" i="30"/>
  <c r="D44" i="61"/>
  <c r="H91" i="33"/>
  <c r="M94" i="35"/>
  <c r="G6" i="66"/>
  <c r="K20" i="77"/>
  <c r="O10" i="70"/>
  <c r="K11" i="81"/>
  <c r="H64" i="46"/>
  <c r="I18" i="70"/>
  <c r="M5" i="43"/>
  <c r="M16" i="84"/>
  <c r="E100" i="46"/>
  <c r="F86" i="45"/>
  <c r="E91" i="83"/>
  <c r="F48" i="68"/>
  <c r="K55" i="60"/>
  <c r="O31" i="47"/>
  <c r="L13" i="19"/>
  <c r="E6" i="84"/>
  <c r="M85" i="78"/>
  <c r="D43" i="73"/>
  <c r="K43" i="34"/>
  <c r="H73" i="92"/>
  <c r="H104" i="40"/>
  <c r="H106"/>
  <c r="J67" i="75"/>
  <c r="F25" i="87"/>
  <c r="I23" i="55"/>
  <c r="K61" i="46"/>
  <c r="K74" i="92"/>
  <c r="G41" i="80"/>
  <c r="H15" i="62"/>
  <c r="F26" i="87"/>
  <c r="M38" i="78"/>
  <c r="O77" i="41"/>
  <c r="G68" i="71"/>
  <c r="D73" i="33"/>
  <c r="F79" i="59"/>
  <c r="N56" i="45"/>
  <c r="O47" i="49"/>
  <c r="K79" i="63"/>
  <c r="O45" i="84"/>
  <c r="D31" i="41"/>
  <c r="G65" i="83"/>
  <c r="N67" i="36"/>
  <c r="O18" i="81"/>
  <c r="J89" i="80"/>
  <c r="J17" i="45"/>
  <c r="O104" i="33"/>
  <c r="K30" i="80"/>
  <c r="G35" i="85"/>
  <c r="J44" i="75"/>
  <c r="N47" i="91"/>
  <c r="G80" i="83"/>
  <c r="I6" i="40"/>
  <c r="L64" i="63"/>
  <c r="F38" i="62"/>
  <c r="M16" i="34"/>
  <c r="M4"/>
  <c r="G98" i="62"/>
  <c r="D48" i="79"/>
  <c r="L65" i="75"/>
  <c r="J53" i="44"/>
  <c r="H7" i="36"/>
  <c r="I77" i="77"/>
  <c r="O29" i="35"/>
  <c r="O41" i="89"/>
  <c r="J58" i="69"/>
  <c r="J64" i="71"/>
  <c r="D103" i="64"/>
  <c r="G28" i="46"/>
  <c r="H11" i="32"/>
  <c r="K55" i="91"/>
  <c r="F55" i="76"/>
  <c r="L100" i="46"/>
  <c r="N104" i="72"/>
  <c r="O91" i="69"/>
  <c r="J30" i="94"/>
  <c r="G85" i="56"/>
  <c r="J16" i="44"/>
  <c r="D4" i="25"/>
  <c r="L44" i="63"/>
  <c r="O39" i="65"/>
  <c r="K40" i="40"/>
  <c r="I23" i="32"/>
  <c r="N46" i="86"/>
  <c r="J14" i="53"/>
  <c r="H18" i="70"/>
  <c r="E14" i="47"/>
  <c r="L21" i="62"/>
  <c r="F33" i="63"/>
  <c r="I57" i="61"/>
  <c r="J88" i="91"/>
  <c r="M44" i="68"/>
  <c r="E100" i="34"/>
  <c r="O47" i="39"/>
  <c r="E103" i="69"/>
  <c r="F58" i="71"/>
  <c r="I73" i="33"/>
  <c r="H97" i="80"/>
  <c r="K68"/>
  <c r="N4" i="92"/>
  <c r="I73" i="41"/>
  <c r="F98" i="63"/>
  <c r="J18" i="56"/>
  <c r="E40" i="58"/>
  <c r="E59" i="48"/>
  <c r="F74" i="52"/>
  <c r="M36" i="87"/>
  <c r="H70" i="57"/>
  <c r="L79" i="53"/>
  <c r="H12" i="27"/>
  <c r="E42" i="78"/>
  <c r="D17" i="63"/>
  <c r="N38" i="72"/>
  <c r="D31" i="82"/>
  <c r="F23" i="63"/>
  <c r="D41" i="89"/>
  <c r="L34" i="77"/>
  <c r="K58" i="25"/>
  <c r="F94" i="62"/>
  <c r="D13" i="43"/>
  <c r="J85" i="36"/>
  <c r="L49" i="94"/>
  <c r="G48" i="80"/>
  <c r="N106" i="54"/>
  <c r="K59" i="30"/>
  <c r="E18" i="39"/>
  <c r="K76" i="41"/>
  <c r="J30" i="32"/>
  <c r="J34" i="84"/>
  <c r="F11" i="66"/>
  <c r="N57" i="71"/>
  <c r="J11" i="30"/>
  <c r="H64" i="38"/>
  <c r="L36" i="53"/>
  <c r="J77" i="48"/>
  <c r="F22" i="77"/>
  <c r="J21" i="25"/>
  <c r="G44" i="59"/>
  <c r="J86" i="77"/>
  <c r="H27" i="69"/>
  <c r="O92" i="93"/>
  <c r="D106" i="82"/>
  <c r="L42" i="56"/>
  <c r="E23" i="80"/>
  <c r="J71" i="46"/>
  <c r="F42" i="73"/>
  <c r="H45" i="62"/>
  <c r="K25" i="46"/>
  <c r="I11" i="38"/>
  <c r="O29" i="46"/>
  <c r="J82" i="66"/>
  <c r="K61" i="41"/>
  <c r="J77" i="38"/>
  <c r="D11" i="79"/>
  <c r="H86" i="50"/>
  <c r="H100" i="54"/>
  <c r="I35" i="70"/>
  <c r="I48" i="26"/>
  <c r="D23" i="84"/>
  <c r="E9" i="89"/>
  <c r="M53" i="33"/>
  <c r="J77" i="30"/>
  <c r="H38" i="58"/>
  <c r="D21"/>
  <c r="E10" i="81"/>
  <c r="D89" i="44"/>
  <c r="E59" i="64"/>
  <c r="G4"/>
  <c r="L95" i="62"/>
  <c r="M59" i="40"/>
  <c r="I106" i="25"/>
  <c r="D19" i="46"/>
  <c r="M56" i="94"/>
  <c r="H37" i="54"/>
  <c r="N68" i="39"/>
  <c r="D36" i="76"/>
  <c r="G98" i="35"/>
  <c r="N39" i="55"/>
  <c r="I49" i="45"/>
  <c r="H6" i="82"/>
  <c r="O24" i="61"/>
  <c r="I14" i="47"/>
  <c r="J26" i="92"/>
  <c r="I53" i="57"/>
  <c r="G5" i="25"/>
  <c r="F46" i="86"/>
  <c r="J98" i="57"/>
  <c r="J79" i="79"/>
  <c r="I48" i="58"/>
  <c r="K15" i="48"/>
  <c r="E64" i="61"/>
  <c r="K9" i="39"/>
  <c r="H27" i="34"/>
  <c r="E103" i="70"/>
  <c r="D31" i="48"/>
  <c r="D55" i="36"/>
  <c r="E94" i="85"/>
  <c r="O62" i="47"/>
  <c r="I70" i="58"/>
  <c r="F50" i="38"/>
  <c r="F106" i="40"/>
  <c r="D91" i="27"/>
  <c r="O50" i="63"/>
  <c r="L73" i="80"/>
  <c r="L59" i="67"/>
  <c r="I22" i="85"/>
  <c r="L62" i="67"/>
  <c r="E50" i="43"/>
  <c r="G94" i="61"/>
  <c r="N50" i="84"/>
  <c r="D41" i="33"/>
  <c r="I10" i="94"/>
  <c r="F13" i="71"/>
  <c r="M33" i="53"/>
  <c r="I37" i="29"/>
  <c r="F13" i="33"/>
  <c r="I13" i="79"/>
  <c r="G33" i="41"/>
  <c r="N48" i="65"/>
  <c r="J46" i="78"/>
  <c r="K107" i="77"/>
  <c r="D92" i="19"/>
  <c r="G7" i="80"/>
  <c r="O18" i="19"/>
  <c r="I22" i="86"/>
  <c r="H6" i="73"/>
  <c r="D101" i="39"/>
  <c r="I34" i="33"/>
  <c r="L25" i="73"/>
  <c r="D23" i="66"/>
  <c r="O5" i="87"/>
  <c r="K22" i="69"/>
  <c r="N45" i="48"/>
  <c r="L53" i="74"/>
  <c r="E58" i="53"/>
  <c r="O89" i="65"/>
  <c r="D51" i="29"/>
  <c r="L46" i="60"/>
  <c r="F52" i="92"/>
  <c r="K73" i="26"/>
  <c r="G36"/>
  <c r="G5" i="49"/>
  <c r="L17" i="63"/>
  <c r="G7" i="65"/>
  <c r="F17" i="94"/>
  <c r="N47" i="41"/>
  <c r="E8" i="92"/>
  <c r="E39" i="51"/>
  <c r="G38" i="30"/>
  <c r="L97" i="60"/>
  <c r="M44" i="41"/>
  <c r="K42" i="43"/>
  <c r="E67" i="61"/>
  <c r="E33" i="81"/>
  <c r="F31" i="50"/>
  <c r="F5" i="30"/>
  <c r="J22" i="86"/>
  <c r="E8" i="39"/>
  <c r="O11" i="73"/>
  <c r="M101" i="26"/>
  <c r="K64" i="87"/>
  <c r="F68" i="68"/>
  <c r="H61" i="92"/>
  <c r="G14" i="29"/>
  <c r="G57" i="30"/>
  <c r="E67" i="78"/>
  <c r="E6" i="58"/>
  <c r="G53" i="84"/>
  <c r="I11" i="57"/>
  <c r="L98" i="55"/>
  <c r="L74" i="72"/>
  <c r="N35"/>
  <c r="N71" i="93"/>
  <c r="N18" i="57"/>
  <c r="D91" i="46"/>
  <c r="F35" i="41"/>
  <c r="N94" i="43"/>
  <c r="L30" i="62"/>
  <c r="K95" i="68"/>
  <c r="D107" i="29"/>
  <c r="E89" i="77"/>
  <c r="J32" i="33"/>
  <c r="I31" i="44"/>
  <c r="H97" i="42"/>
  <c r="E57" i="87"/>
  <c r="D83" i="94"/>
  <c r="G36" i="40"/>
  <c r="I97" i="70"/>
  <c r="D79" i="52"/>
  <c r="D58" i="70"/>
  <c r="F50" i="69"/>
  <c r="M71" i="59"/>
  <c r="L5" i="70"/>
  <c r="G31" i="63"/>
  <c r="F79" i="35"/>
  <c r="E38" i="81"/>
  <c r="I64" i="44"/>
  <c r="E42" i="86"/>
  <c r="E74" i="55"/>
  <c r="I17" i="67"/>
  <c r="O5" i="57"/>
  <c r="E97" i="69"/>
  <c r="O47" i="43"/>
  <c r="L20" i="27"/>
  <c r="F29" i="57"/>
  <c r="E46" i="36"/>
  <c r="G8" i="54"/>
  <c r="N32" i="19"/>
  <c r="L20" i="63"/>
  <c r="L25" i="36"/>
  <c r="N98" i="49"/>
  <c r="E16" i="32"/>
  <c r="D42" i="25"/>
  <c r="D6" i="41"/>
  <c r="L51" i="91"/>
  <c r="M62" i="89"/>
  <c r="O62" i="86"/>
  <c r="H43" i="48"/>
  <c r="J18" i="77"/>
  <c r="L17" i="53"/>
  <c r="H55" i="75"/>
  <c r="K68" i="51"/>
  <c r="O94" i="53"/>
  <c r="H22" i="56"/>
  <c r="K46" i="75"/>
  <c r="D8" i="61"/>
  <c r="O25" i="76"/>
  <c r="D67" i="75"/>
  <c r="I83" i="64"/>
  <c r="I18" i="48"/>
  <c r="J73" i="57"/>
  <c r="F95" i="51"/>
  <c r="H100" i="55"/>
  <c r="F53" i="63"/>
  <c r="J67" i="44"/>
  <c r="F106" i="62"/>
  <c r="J98" i="19"/>
  <c r="N31"/>
  <c r="O44" i="58"/>
  <c r="K71" i="84"/>
  <c r="K41" i="78"/>
  <c r="M42" i="27"/>
  <c r="E64" i="94"/>
  <c r="O19" i="34"/>
  <c r="H37" i="58"/>
  <c r="I79" i="82"/>
  <c r="N41" i="39"/>
  <c r="J59" i="71"/>
  <c r="J85" i="43"/>
  <c r="D73" i="85"/>
  <c r="J70" i="84"/>
  <c r="N42" i="64"/>
  <c r="F34" i="19"/>
  <c r="M32" i="57"/>
  <c r="I38" i="26"/>
  <c r="E107" i="57"/>
  <c r="G77" i="33"/>
  <c r="M62" i="92"/>
  <c r="G46" i="42"/>
  <c r="K100" i="57"/>
  <c r="G76" i="92"/>
  <c r="G71" i="91"/>
  <c r="J36" i="44"/>
  <c r="L5" i="63"/>
  <c r="K36" i="33"/>
  <c r="E24" i="89"/>
  <c r="L80" i="41"/>
  <c r="L49" i="46"/>
  <c r="E5" i="67"/>
  <c r="J26" i="68"/>
  <c r="O8" i="86"/>
  <c r="L28" i="35"/>
  <c r="M32" i="94"/>
  <c r="K44" i="84"/>
  <c r="H46" i="19"/>
  <c r="O12" i="51"/>
  <c r="D58" i="66"/>
  <c r="N76" i="19"/>
  <c r="O41" i="75"/>
  <c r="J33" i="49"/>
  <c r="M56" i="43"/>
  <c r="J6" i="38"/>
  <c r="K32" i="36"/>
  <c r="J100" i="30"/>
  <c r="M20" i="62"/>
  <c r="L31" i="25"/>
  <c r="E47" i="90"/>
  <c r="O104" i="93"/>
  <c r="K49" i="80"/>
  <c r="F70" i="53"/>
  <c r="E25" i="79"/>
  <c r="F64" i="57"/>
  <c r="E55" i="35"/>
  <c r="F9"/>
  <c r="N27" i="64"/>
  <c r="J52" i="94"/>
  <c r="E47" i="76"/>
  <c r="K31" i="82"/>
  <c r="K33" i="39"/>
  <c r="H103" i="74"/>
  <c r="O73" i="35"/>
  <c r="N64" i="77"/>
  <c r="F91" i="92"/>
  <c r="F94" i="36"/>
  <c r="F39" i="19"/>
  <c r="J9" i="79"/>
  <c r="E26" i="91"/>
  <c r="D20" i="40"/>
  <c r="E35" i="90"/>
  <c r="G48" i="59"/>
  <c r="K62" i="29"/>
  <c r="J58" i="84"/>
  <c r="O11" i="49"/>
  <c r="H58" i="63"/>
  <c r="J77" i="70"/>
  <c r="K101" i="48"/>
  <c r="H73" i="54"/>
  <c r="N6" i="92"/>
  <c r="O46" i="67"/>
  <c r="N10" i="38"/>
  <c r="O21" i="45"/>
  <c r="J49" i="68"/>
  <c r="H77" i="87"/>
  <c r="J101" i="25"/>
  <c r="O97" i="60"/>
  <c r="G68" i="29"/>
  <c r="O4" i="34"/>
  <c r="D22" i="82"/>
  <c r="M33" i="51"/>
  <c r="O34" i="67"/>
  <c r="I103" i="70"/>
  <c r="I46" i="78"/>
  <c r="I26" i="90"/>
  <c r="G44" i="52"/>
  <c r="I100" i="73"/>
  <c r="H29" i="55"/>
  <c r="H53" i="19"/>
  <c r="J89" i="65"/>
  <c r="D77" i="62"/>
  <c r="G50" i="84"/>
  <c r="H45" i="53"/>
  <c r="N71" i="76"/>
  <c r="K95" i="44"/>
  <c r="H27" i="38"/>
  <c r="O85" i="40"/>
  <c r="D82" i="85"/>
  <c r="E68" i="93"/>
  <c r="G39"/>
  <c r="J101" i="62"/>
  <c r="E97" i="92"/>
  <c r="O74" i="75"/>
  <c r="I101" i="41"/>
  <c r="J51" i="94"/>
  <c r="M19" i="39"/>
  <c r="I13" i="54"/>
  <c r="M10" i="25"/>
  <c r="L32" i="53"/>
  <c r="M83" i="86"/>
  <c r="O77" i="35"/>
  <c r="O53" i="86"/>
  <c r="H65" i="33"/>
  <c r="O17" i="46"/>
  <c r="J106" i="57"/>
  <c r="F55" i="61"/>
  <c r="E21" i="83"/>
  <c r="N44" i="53"/>
  <c r="D95" i="85"/>
  <c r="D70" i="43"/>
  <c r="M46" i="69"/>
  <c r="I38" i="93"/>
  <c r="O38" i="55"/>
  <c r="I19" i="66"/>
  <c r="K62" i="94"/>
  <c r="I88" i="89"/>
  <c r="J82" i="49"/>
  <c r="E91" i="41"/>
  <c r="F33" i="64"/>
  <c r="D8" i="32"/>
  <c r="K98" i="35"/>
  <c r="O29" i="44"/>
  <c r="J47" i="69"/>
  <c r="J8" i="50"/>
  <c r="J104" i="92"/>
  <c r="G82" i="25"/>
  <c r="G31" i="68"/>
  <c r="M49" i="74"/>
  <c r="I17" i="71"/>
  <c r="N21" i="30"/>
  <c r="E83" i="82"/>
  <c r="O17" i="76"/>
  <c r="D16" i="87"/>
  <c r="G101" i="67"/>
  <c r="F98" i="47"/>
  <c r="M22" i="34"/>
  <c r="H77" i="26"/>
  <c r="G62" i="60"/>
  <c r="H91" i="26"/>
  <c r="H26" i="57"/>
  <c r="K27" i="76"/>
  <c r="J85" i="60"/>
  <c r="H54" i="69"/>
  <c r="N26" i="41"/>
  <c r="F67" i="53"/>
  <c r="D88" i="68"/>
  <c r="O67" i="81"/>
  <c r="L9" i="35"/>
  <c r="N22" i="36"/>
  <c r="G100" i="76"/>
  <c r="D73" i="51"/>
  <c r="K10" i="32"/>
  <c r="D73" i="94"/>
  <c r="K65" i="35"/>
  <c r="F29" i="27"/>
  <c r="D59" i="57"/>
  <c r="J43" i="64"/>
  <c r="F91" i="81"/>
  <c r="O73" i="46"/>
  <c r="L61" i="93"/>
  <c r="I49" i="36"/>
  <c r="I33" i="90"/>
  <c r="M53" i="65"/>
  <c r="K57" i="83"/>
  <c r="E10" i="60"/>
  <c r="M7" i="49"/>
  <c r="J53" i="74"/>
  <c r="I7" i="47"/>
  <c r="H40" i="56"/>
  <c r="O9" i="25"/>
  <c r="K46" i="69"/>
  <c r="I89" i="70"/>
  <c r="M42" i="69"/>
  <c r="F43" i="40"/>
  <c r="K50" i="67"/>
  <c r="J73" i="33"/>
  <c r="L39" i="63"/>
  <c r="K83" i="30"/>
  <c r="I68" i="46"/>
  <c r="I44" i="55"/>
  <c r="I30" i="80"/>
  <c r="J30" i="44"/>
  <c r="M65" i="49"/>
  <c r="L58" i="84"/>
  <c r="G52" i="33"/>
  <c r="M52" i="48"/>
  <c r="F27" i="26"/>
  <c r="L47" i="93"/>
  <c r="D92" i="32"/>
  <c r="J34" i="26"/>
  <c r="G23" i="25"/>
  <c r="H22" i="85"/>
  <c r="G98" i="32"/>
  <c r="M61" i="84"/>
  <c r="E98" i="65"/>
  <c r="H56" i="49"/>
  <c r="I107" i="19"/>
  <c r="I30" i="89"/>
  <c r="N47" i="36"/>
  <c r="J65" i="33"/>
  <c r="J33" i="61"/>
  <c r="J14" i="43"/>
  <c r="E62" i="64"/>
  <c r="F27" i="81"/>
  <c r="E92" i="87"/>
  <c r="F25" i="35"/>
  <c r="H33" i="74"/>
  <c r="F53" i="90"/>
  <c r="O27" i="76"/>
  <c r="E12" i="45"/>
  <c r="L65" i="78"/>
  <c r="H23" i="87"/>
  <c r="J80" i="91"/>
  <c r="F64" i="30"/>
  <c r="I8" i="80"/>
  <c r="K80" i="44"/>
  <c r="N98" i="63"/>
  <c r="E6" i="89"/>
  <c r="J92" i="68"/>
  <c r="D71" i="91"/>
  <c r="O98" i="63"/>
  <c r="I79" i="27"/>
  <c r="I104" i="46"/>
  <c r="I42" i="42"/>
  <c r="K83" i="94"/>
  <c r="G95" i="58"/>
  <c r="F59" i="94"/>
  <c r="O33" i="83"/>
  <c r="M58" i="34"/>
  <c r="M39" i="48"/>
  <c r="L13" i="46"/>
  <c r="K95" i="84"/>
  <c r="L16" i="49"/>
  <c r="I33" i="61"/>
  <c r="I100" i="68"/>
  <c r="E23" i="50"/>
  <c r="I9" i="83"/>
  <c r="D103" i="52"/>
  <c r="D48" i="78"/>
  <c r="O34" i="43"/>
  <c r="G100" i="48"/>
  <c r="H76" i="38"/>
  <c r="I32" i="80"/>
  <c r="F10" i="61"/>
  <c r="K47" i="92"/>
  <c r="M64" i="65"/>
  <c r="M22" i="94"/>
  <c r="L88" i="27"/>
  <c r="L56" i="58"/>
  <c r="H86" i="56"/>
  <c r="M37" i="38"/>
  <c r="O64" i="61"/>
  <c r="H89" i="36"/>
  <c r="F64" i="53"/>
  <c r="G38" i="61"/>
  <c r="D13" i="93"/>
  <c r="F11" i="32"/>
  <c r="G70" i="51"/>
  <c r="L20" i="67"/>
  <c r="F13" i="50"/>
  <c r="G19" i="46"/>
  <c r="I5" i="38"/>
  <c r="L80" i="36"/>
  <c r="G46" i="66"/>
  <c r="F106" i="94"/>
  <c r="M26" i="27"/>
  <c r="O94" i="60"/>
  <c r="J13" i="53"/>
  <c r="G19" i="75"/>
  <c r="M97" i="40"/>
  <c r="H83" i="76"/>
  <c r="J13" i="90"/>
  <c r="F51" i="49"/>
  <c r="O38" i="89"/>
  <c r="L15"/>
  <c r="K28" i="60"/>
  <c r="G10" i="82"/>
  <c r="L104" i="72"/>
  <c r="G56" i="36"/>
  <c r="J16" i="90"/>
  <c r="H83" i="44"/>
  <c r="O22" i="80"/>
  <c r="D103" i="38"/>
  <c r="D9" i="36"/>
  <c r="K86" i="55"/>
  <c r="K95" i="57"/>
  <c r="D29" i="58"/>
  <c r="K98" i="78"/>
  <c r="M25" i="39"/>
  <c r="K67" i="81"/>
  <c r="E17" i="75"/>
  <c r="H15" i="82"/>
  <c r="L42" i="41"/>
  <c r="N5" i="82"/>
  <c r="O30" i="45"/>
  <c r="D54" i="51"/>
  <c r="I20" i="91"/>
  <c r="F30" i="62"/>
  <c r="H40" i="46"/>
  <c r="J56" i="76"/>
  <c r="K58" i="67"/>
  <c r="O48" i="51"/>
  <c r="J77" i="56"/>
  <c r="G103" i="25"/>
  <c r="D89" i="75"/>
  <c r="L94" i="43"/>
  <c r="F48" i="51"/>
  <c r="E22" i="25"/>
  <c r="J97" i="61"/>
  <c r="J6" i="94"/>
  <c r="N18" i="75"/>
  <c r="G10" i="84"/>
  <c r="G24" i="48"/>
  <c r="K14" i="72"/>
  <c r="O12" i="83"/>
  <c r="E103" i="92"/>
  <c r="K100" i="47"/>
  <c r="L101" i="89"/>
  <c r="H88" i="19"/>
  <c r="J16" i="71"/>
  <c r="O80" i="87"/>
  <c r="O10" i="33"/>
  <c r="G50" i="91"/>
  <c r="K13" i="32"/>
  <c r="F85" i="60"/>
  <c r="F67" i="48"/>
  <c r="H34" i="63"/>
  <c r="G39" i="94"/>
  <c r="F15" i="33"/>
  <c r="K76" i="35"/>
  <c r="D42" i="76"/>
  <c r="D6" i="93"/>
  <c r="O76" i="68"/>
  <c r="I100" i="78"/>
  <c r="K82" i="91"/>
  <c r="M26" i="47"/>
  <c r="F88" i="69"/>
  <c r="G86" i="62"/>
  <c r="M22"/>
  <c r="F32" i="50"/>
  <c r="E79" i="33"/>
  <c r="G9" i="89"/>
  <c r="G37" i="43"/>
  <c r="I92" i="26"/>
  <c r="N53" i="49"/>
  <c r="N12" i="77"/>
  <c r="K34" i="67"/>
  <c r="H97" i="35"/>
  <c r="H32" i="34"/>
  <c r="G4" i="25"/>
  <c r="E54" i="52"/>
  <c r="M74" i="48"/>
  <c r="N82" i="69"/>
  <c r="F10" i="56"/>
  <c r="N45" i="33"/>
  <c r="I34" i="91"/>
  <c r="I39" i="56"/>
  <c r="L40" i="61"/>
  <c r="L101" i="34"/>
  <c r="D61" i="81"/>
  <c r="L44"/>
  <c r="O104" i="34"/>
  <c r="F16" i="86"/>
  <c r="L45" i="33"/>
  <c r="I23" i="27"/>
  <c r="D26" i="79"/>
  <c r="D77" i="93"/>
  <c r="H106" i="59"/>
  <c r="J82" i="61"/>
  <c r="L14" i="26"/>
  <c r="G79" i="67"/>
  <c r="N86" i="77"/>
  <c r="O4" i="93"/>
  <c r="L17" i="39"/>
  <c r="F62" i="38"/>
  <c r="I98" i="94"/>
  <c r="M21" i="49"/>
  <c r="F31" i="27"/>
  <c r="M32" i="54"/>
  <c r="I64" i="60"/>
  <c r="J76" i="39"/>
  <c r="O7" i="26"/>
  <c r="F34" i="59"/>
  <c r="I16" i="30"/>
  <c r="N88" i="72"/>
  <c r="I54" i="87"/>
  <c r="F58" i="47"/>
  <c r="M8" i="71"/>
  <c r="H50" i="46"/>
  <c r="I88" i="80"/>
  <c r="L38" i="66"/>
  <c r="H32" i="75"/>
  <c r="K85" i="30"/>
  <c r="E97" i="60"/>
  <c r="K28" i="92"/>
  <c r="J76" i="35"/>
  <c r="K34" i="40"/>
  <c r="K28" i="53"/>
  <c r="E101" i="76"/>
  <c r="N43" i="59"/>
  <c r="O101" i="64"/>
  <c r="J20" i="78"/>
  <c r="K68" i="53"/>
  <c r="I85" i="84"/>
  <c r="E25" i="49"/>
  <c r="I50" i="30"/>
  <c r="E37" i="72"/>
  <c r="I65" i="64"/>
  <c r="N15" i="58"/>
  <c r="H103" i="41"/>
  <c r="G25" i="74"/>
  <c r="M91" i="41"/>
  <c r="I101" i="86"/>
  <c r="K82" i="81"/>
  <c r="H86" i="39"/>
  <c r="K68" i="72"/>
  <c r="D39" i="32"/>
  <c r="J8"/>
  <c r="N8" i="54"/>
  <c r="H83" i="94"/>
  <c r="I35" i="67"/>
  <c r="K43" i="49"/>
  <c r="O45" i="66"/>
  <c r="D61" i="84"/>
  <c r="I15" i="94"/>
  <c r="E92" i="77"/>
  <c r="F38" i="53"/>
  <c r="N9" i="62"/>
  <c r="N67" i="57"/>
  <c r="H20" i="83"/>
  <c r="H91" i="57"/>
  <c r="L36" i="44"/>
  <c r="J43"/>
  <c r="G4" i="43"/>
  <c r="J26" i="81"/>
  <c r="L6" i="62"/>
  <c r="J61" i="40"/>
  <c r="I14" i="74"/>
  <c r="K4" i="82"/>
  <c r="D51" i="45"/>
  <c r="J13" i="69"/>
  <c r="D24" i="85"/>
  <c r="J77" i="59"/>
  <c r="H50" i="33"/>
  <c r="L94" i="70"/>
  <c r="H71" i="67"/>
  <c r="D16" i="85"/>
  <c r="H104" i="26"/>
  <c r="J54" i="34"/>
  <c r="M26" i="44"/>
  <c r="F16" i="36"/>
  <c r="L27" i="76"/>
  <c r="I92" i="89"/>
  <c r="H28" i="42"/>
  <c r="L47" i="26"/>
  <c r="D38" i="85"/>
  <c r="F52" i="49"/>
  <c r="N61" i="70"/>
  <c r="G70" i="55"/>
  <c r="J86" i="41"/>
  <c r="G51" i="69"/>
  <c r="H83" i="48"/>
  <c r="E92" i="61"/>
  <c r="O29" i="92"/>
  <c r="O92" i="86"/>
  <c r="F21" i="76"/>
  <c r="N74" i="58"/>
  <c r="G24" i="36"/>
  <c r="I14" i="54"/>
  <c r="L55" i="26"/>
  <c r="M94" i="94"/>
  <c r="K52" i="39"/>
  <c r="J80"/>
  <c r="H61" i="54"/>
  <c r="L39" i="94"/>
  <c r="I39" i="87"/>
  <c r="G89" i="41"/>
  <c r="G51" i="49"/>
  <c r="G44" i="93"/>
  <c r="K38" i="72"/>
  <c r="E91" i="82"/>
  <c r="O48" i="90"/>
  <c r="H71" i="41"/>
  <c r="L94" i="56"/>
  <c r="K53" i="89"/>
  <c r="K34" i="51"/>
  <c r="G52" i="25"/>
  <c r="D47" i="89"/>
  <c r="O10" i="81"/>
  <c r="F26" i="44"/>
  <c r="J61" i="38"/>
  <c r="I50" i="93"/>
  <c r="M76" i="68"/>
  <c r="O5" i="54"/>
  <c r="E23" i="66"/>
  <c r="I12" i="48"/>
  <c r="G89" i="93"/>
  <c r="I88" i="41"/>
  <c r="M27" i="43"/>
  <c r="E4" i="71"/>
  <c r="L52" i="58"/>
  <c r="D71" i="38"/>
  <c r="D13" i="73"/>
  <c r="D41" i="83"/>
  <c r="J22" i="81"/>
  <c r="J49" i="38"/>
  <c r="G104" i="77"/>
  <c r="F17" i="52"/>
  <c r="N80" i="48"/>
  <c r="E107" i="89"/>
  <c r="N106" i="49"/>
  <c r="O26" i="25"/>
  <c r="G97" i="63"/>
  <c r="J4" i="64"/>
  <c r="J17" i="29"/>
  <c r="E74" i="57"/>
  <c r="E76" i="77"/>
  <c r="N15" i="73"/>
  <c r="J101" i="60"/>
  <c r="O12" i="91"/>
  <c r="N43" i="86"/>
  <c r="L61" i="35"/>
  <c r="I71" i="43"/>
  <c r="E80" i="38"/>
  <c r="N9" i="55"/>
  <c r="H32" i="84"/>
  <c r="J41" i="49"/>
  <c r="N34" i="27"/>
  <c r="H39" i="72"/>
  <c r="K106" i="81"/>
  <c r="D49" i="86"/>
  <c r="L11" i="35"/>
  <c r="M45" i="87"/>
  <c r="N28" i="94"/>
  <c r="G15" i="63"/>
  <c r="G30" i="39"/>
  <c r="G80" i="79"/>
  <c r="M56" i="55"/>
  <c r="O58" i="29"/>
  <c r="I35" i="77"/>
  <c r="I8" i="42"/>
  <c r="O12" i="65"/>
  <c r="G106" i="74"/>
  <c r="L55" i="29"/>
  <c r="O40" i="43"/>
  <c r="H71" i="30"/>
  <c r="L79" i="44"/>
  <c r="D46" i="56"/>
  <c r="D5" i="52"/>
  <c r="E50" i="78"/>
  <c r="G50" i="49"/>
  <c r="O74" i="81"/>
  <c r="F59" i="66"/>
  <c r="F57" i="32"/>
  <c r="D59" i="52"/>
  <c r="D17" i="36"/>
  <c r="G88" i="80"/>
  <c r="D7" i="71"/>
  <c r="M12" i="77"/>
  <c r="H7" i="32"/>
  <c r="L38" i="41"/>
  <c r="K23" i="83"/>
  <c r="H8" i="80"/>
  <c r="F49" i="63"/>
  <c r="H33" i="40"/>
  <c r="G91" i="64"/>
  <c r="F14" i="69"/>
  <c r="O95" i="60"/>
  <c r="D14" i="29"/>
  <c r="G103" i="87"/>
  <c r="E86" i="93"/>
  <c r="D23" i="64"/>
  <c r="H83" i="69"/>
  <c r="H34" i="68"/>
  <c r="E80" i="47"/>
  <c r="L23" i="51"/>
  <c r="I77" i="47"/>
  <c r="J28" i="27"/>
  <c r="N33" i="46"/>
  <c r="H9" i="75"/>
  <c r="I79" i="29"/>
  <c r="D35" i="92"/>
  <c r="H53" i="35"/>
  <c r="L37" i="76"/>
  <c r="L79" i="55"/>
  <c r="H35" i="87"/>
  <c r="J104" i="84"/>
  <c r="J20" i="82"/>
  <c r="K57" i="44"/>
  <c r="H46" i="82"/>
  <c r="G30" i="33"/>
  <c r="J37" i="94"/>
  <c r="J6" i="91"/>
  <c r="F29" i="94"/>
  <c r="I97" i="62"/>
  <c r="J35" i="33"/>
  <c r="G32" i="47"/>
  <c r="G47" i="89"/>
  <c r="K52" i="35"/>
  <c r="J101" i="70"/>
  <c r="O47" i="90"/>
  <c r="O59" i="48"/>
  <c r="K15" i="19"/>
  <c r="D50" i="55"/>
  <c r="M73" i="86"/>
  <c r="E25" i="68"/>
  <c r="I13" i="46"/>
  <c r="N34" i="71"/>
  <c r="N23" i="77"/>
  <c r="K104" i="87"/>
  <c r="G49" i="30"/>
  <c r="K33" i="48"/>
  <c r="J94" i="73"/>
  <c r="D10" i="53"/>
  <c r="O94" i="69"/>
  <c r="J19" i="90"/>
  <c r="F5" i="78"/>
  <c r="G57" i="87"/>
  <c r="I34" i="75"/>
  <c r="D80" i="91"/>
  <c r="F5" i="59"/>
  <c r="M55" i="69"/>
  <c r="I89" i="32"/>
  <c r="O4" i="45"/>
  <c r="K9" i="84"/>
  <c r="L61" i="49"/>
  <c r="L70" i="81"/>
  <c r="E70" i="34"/>
  <c r="I53" i="65"/>
  <c r="N107" i="60"/>
  <c r="N57" i="30"/>
  <c r="J47" i="43"/>
  <c r="E73" i="81"/>
  <c r="K71" i="67"/>
  <c r="N39" i="32"/>
  <c r="M34" i="75"/>
  <c r="H52" i="64"/>
  <c r="G91" i="83"/>
  <c r="L19" i="65"/>
  <c r="E41" i="55"/>
  <c r="F64" i="93"/>
  <c r="K56"/>
  <c r="E28" i="92"/>
  <c r="F40" i="78"/>
  <c r="J61" i="84"/>
  <c r="D98" i="49"/>
  <c r="M27" i="59"/>
  <c r="J65" i="65"/>
  <c r="O15" i="93"/>
  <c r="H65" i="51"/>
  <c r="K48" i="81"/>
  <c r="K79" i="82"/>
  <c r="O43" i="36"/>
  <c r="O41" i="74"/>
  <c r="J32"/>
  <c r="L39" i="19"/>
  <c r="D28" i="46"/>
  <c r="I50" i="39"/>
  <c r="I73" i="53"/>
  <c r="G103" i="51"/>
  <c r="L56" i="61"/>
  <c r="O76" i="43"/>
  <c r="F19" i="29"/>
  <c r="F86" i="89"/>
  <c r="H25" i="87"/>
  <c r="G65" i="56"/>
  <c r="J101" i="72"/>
  <c r="J74" i="32"/>
  <c r="H88" i="70"/>
  <c r="N88" i="55"/>
  <c r="H31" i="93"/>
  <c r="K55" i="39"/>
  <c r="K82" i="27"/>
  <c r="H85" i="36"/>
  <c r="M38" i="60"/>
  <c r="K77" i="94"/>
  <c r="F101" i="40"/>
  <c r="F58" i="19"/>
  <c r="N33" i="91"/>
  <c r="O104" i="35"/>
  <c r="E37" i="90"/>
  <c r="J47" i="93"/>
  <c r="K91" i="64"/>
  <c r="O5" i="86"/>
  <c r="N15" i="51"/>
  <c r="I77" i="39"/>
  <c r="E51" i="82"/>
  <c r="J107" i="55"/>
  <c r="K76" i="73"/>
  <c r="G104" i="72"/>
  <c r="E11" i="77"/>
  <c r="L28" i="48"/>
  <c r="I88" i="44"/>
  <c r="I24" i="36"/>
  <c r="I53" i="90"/>
  <c r="G67" i="29"/>
  <c r="E13" i="40"/>
  <c r="I48" i="66"/>
  <c r="J32" i="46"/>
  <c r="L94" i="94"/>
  <c r="H10" i="90"/>
  <c r="H27" i="39"/>
  <c r="K50" i="72"/>
  <c r="G43" i="53"/>
  <c r="L46" i="83"/>
  <c r="F82" i="34"/>
  <c r="K42" i="48"/>
  <c r="I41" i="46"/>
  <c r="E48" i="56"/>
  <c r="I10" i="75"/>
  <c r="L6"/>
  <c r="K19" i="56"/>
  <c r="F88" i="77"/>
  <c r="E23" i="63"/>
  <c r="H51" i="54"/>
  <c r="M9" i="35"/>
  <c r="M20" i="69"/>
  <c r="G28" i="41"/>
  <c r="K67" i="35"/>
  <c r="J28" i="43"/>
  <c r="M97" i="86"/>
  <c r="G27" i="85"/>
  <c r="H5" i="73"/>
  <c r="G73" i="34"/>
  <c r="D35" i="39"/>
  <c r="O31" i="34"/>
  <c r="L19" i="66"/>
  <c r="D43" i="89"/>
  <c r="K26" i="41"/>
  <c r="H25" i="51"/>
  <c r="J97" i="50"/>
  <c r="F47" i="54"/>
  <c r="O65" i="46"/>
  <c r="E97" i="55"/>
  <c r="D34" i="42"/>
  <c r="G70" i="87"/>
  <c r="N104" i="51"/>
  <c r="E25" i="60"/>
  <c r="N28" i="54"/>
  <c r="O42" i="33"/>
  <c r="I9" i="94"/>
  <c r="I18" i="38"/>
  <c r="F10" i="62"/>
  <c r="G41" i="36"/>
  <c r="K41" i="60"/>
  <c r="F20" i="43"/>
  <c r="L26" i="59"/>
  <c r="I50" i="73"/>
  <c r="O12" i="84"/>
  <c r="H92" i="59"/>
  <c r="E31" i="70"/>
  <c r="F31" i="45"/>
  <c r="I92" i="29"/>
  <c r="D42" i="60"/>
  <c r="F103" i="50"/>
  <c r="D54" i="60"/>
  <c r="D24" i="27"/>
  <c r="G7" i="81"/>
  <c r="G70" i="70"/>
  <c r="G9" i="57"/>
  <c r="K71" i="33"/>
  <c r="F57" i="90"/>
  <c r="J12" i="26"/>
  <c r="E59" i="54"/>
  <c r="D64" i="65"/>
  <c r="M61" i="53"/>
  <c r="G62" i="86"/>
  <c r="O97" i="54"/>
  <c r="D71" i="75"/>
  <c r="N15" i="90"/>
  <c r="H13" i="60"/>
  <c r="L65" i="86"/>
  <c r="J10" i="70"/>
  <c r="J51" i="39"/>
  <c r="K46" i="87"/>
  <c r="L14"/>
  <c r="G19" i="72"/>
  <c r="F44" i="65"/>
  <c r="J52" i="49"/>
  <c r="H91" i="67"/>
  <c r="H71" i="19"/>
  <c r="M77" i="38"/>
  <c r="D91" i="83"/>
  <c r="O79" i="67"/>
  <c r="G5" i="38"/>
  <c r="K13" i="39"/>
  <c r="K89" i="80"/>
  <c r="M47" i="26"/>
  <c r="G50" i="79"/>
  <c r="E27" i="55"/>
  <c r="M67" i="90"/>
  <c r="M82" i="89"/>
  <c r="F26" i="77"/>
  <c r="F58" i="82"/>
  <c r="H47" i="77"/>
  <c r="J8" i="57"/>
  <c r="J44" i="50"/>
  <c r="N11" i="40"/>
  <c r="F103" i="39"/>
  <c r="K77" i="29"/>
  <c r="D57" i="93"/>
  <c r="D19" i="30"/>
  <c r="K91" i="26"/>
  <c r="M62" i="67"/>
  <c r="E89" i="55"/>
  <c r="G92" i="80"/>
  <c r="K26" i="70"/>
  <c r="O79" i="51"/>
  <c r="N13" i="93"/>
  <c r="K46" i="26"/>
  <c r="E30" i="52"/>
  <c r="E16" i="91"/>
  <c r="O38" i="75"/>
  <c r="G82" i="49"/>
  <c r="G37" i="57"/>
  <c r="K17" i="91"/>
  <c r="F59" i="27"/>
  <c r="D48"/>
  <c r="M21" i="90"/>
  <c r="O70" i="70"/>
  <c r="G61" i="71"/>
  <c r="M24" i="81"/>
  <c r="D4" i="43"/>
  <c r="F48" i="72"/>
  <c r="D100" i="25"/>
  <c r="M14" i="35"/>
  <c r="L22" i="19"/>
  <c r="G22" i="90"/>
  <c r="O37" i="55"/>
  <c r="H44" i="56"/>
  <c r="H47" i="94"/>
  <c r="O47" i="54"/>
  <c r="E40" i="60"/>
  <c r="I98" i="82"/>
  <c r="L50" i="70"/>
  <c r="M98" i="30"/>
  <c r="E24" i="87"/>
  <c r="M76" i="51"/>
  <c r="O97" i="32"/>
  <c r="I50" i="35"/>
  <c r="O70" i="58"/>
  <c r="M48" i="38"/>
  <c r="H50" i="36"/>
  <c r="H47" i="40"/>
  <c r="L54" i="41"/>
  <c r="F88" i="67"/>
  <c r="J37" i="50"/>
  <c r="K25" i="60"/>
  <c r="D67" i="58"/>
  <c r="H11" i="19"/>
  <c r="H88" i="83"/>
  <c r="D37" i="56"/>
  <c r="F49" i="52"/>
  <c r="E11" i="86"/>
  <c r="D25" i="94"/>
  <c r="M6" i="53"/>
  <c r="N100" i="77"/>
  <c r="K49" i="69"/>
  <c r="O27" i="80"/>
  <c r="D11" i="29"/>
  <c r="J58" i="76"/>
  <c r="F38" i="50"/>
  <c r="K68" i="76"/>
  <c r="D83" i="91"/>
  <c r="F88" i="86"/>
  <c r="D51" i="78"/>
  <c r="D45" i="67"/>
  <c r="H13" i="71"/>
  <c r="G58" i="25"/>
  <c r="F20" i="83"/>
  <c r="D34" i="26"/>
  <c r="G80" i="63"/>
  <c r="N68" i="54"/>
  <c r="D12" i="84"/>
  <c r="H58" i="68"/>
  <c r="N4" i="67"/>
  <c r="F29" i="43"/>
  <c r="D52" i="44"/>
  <c r="G6" i="34"/>
  <c r="L28" i="71"/>
  <c r="H15" i="32"/>
  <c r="O25" i="58"/>
  <c r="N32" i="49"/>
  <c r="H94" i="65"/>
  <c r="D97" i="84"/>
  <c r="I20" i="77"/>
  <c r="D41" i="49"/>
  <c r="M101" i="78"/>
  <c r="J97" i="49"/>
  <c r="M44" i="93"/>
  <c r="F11"/>
  <c r="K94" i="29"/>
  <c r="K49" i="70"/>
  <c r="G5" i="87"/>
  <c r="I97" i="61"/>
  <c r="O22" i="26"/>
  <c r="J11" i="82"/>
  <c r="J18" i="90"/>
  <c r="D13" i="33"/>
  <c r="N40" i="41"/>
  <c r="J107" i="93"/>
  <c r="I61" i="79"/>
  <c r="M28" i="67"/>
  <c r="D85" i="79"/>
  <c r="D42" i="66"/>
  <c r="E16" i="60"/>
  <c r="K49" i="68"/>
  <c r="I74" i="25"/>
  <c r="K65" i="90"/>
  <c r="E51" i="94"/>
  <c r="G37" i="29"/>
  <c r="I41" i="94"/>
  <c r="G11" i="74"/>
  <c r="O21" i="70"/>
  <c r="N70" i="44"/>
  <c r="L65" i="69"/>
  <c r="M55" i="84"/>
  <c r="M89" i="64"/>
  <c r="F42" i="71"/>
  <c r="I62" i="48"/>
  <c r="I97" i="47"/>
  <c r="J5" i="38"/>
  <c r="G107" i="54"/>
  <c r="O68" i="64"/>
  <c r="I82" i="65"/>
  <c r="L83" i="47"/>
  <c r="M8"/>
  <c r="O40" i="93"/>
  <c r="H14" i="41"/>
  <c r="H16" i="56"/>
  <c r="L88" i="69"/>
  <c r="O17" i="43"/>
  <c r="F82" i="39"/>
  <c r="M8" i="86"/>
  <c r="E37" i="19"/>
  <c r="I94" i="78"/>
  <c r="M86" i="84"/>
  <c r="G28" i="42"/>
  <c r="H92" i="55"/>
  <c r="D41" i="76"/>
  <c r="E22" i="60"/>
  <c r="K58" i="83"/>
  <c r="F101" i="89"/>
  <c r="E40" i="25"/>
  <c r="L50" i="58"/>
  <c r="N58" i="63"/>
  <c r="D40" i="59"/>
  <c r="K79" i="35"/>
  <c r="E47" i="56"/>
  <c r="D40" i="47"/>
  <c r="H36" i="84"/>
  <c r="F73" i="49"/>
  <c r="E83" i="39"/>
  <c r="D42" i="67"/>
  <c r="N5" i="60"/>
  <c r="L14" i="30"/>
  <c r="J53" i="33"/>
  <c r="M82" i="56"/>
  <c r="N5" i="61"/>
  <c r="D97" i="72"/>
  <c r="O79" i="86"/>
  <c r="K18" i="91"/>
  <c r="G20" i="73"/>
  <c r="M6" i="30"/>
  <c r="J26" i="27"/>
  <c r="F68" i="19"/>
  <c r="D76" i="89"/>
  <c r="I36" i="79"/>
  <c r="O79" i="73"/>
  <c r="G41" i="48"/>
  <c r="I4" i="36"/>
  <c r="E82" i="26"/>
  <c r="E19" i="27"/>
  <c r="L97" i="46"/>
  <c r="F4" i="70"/>
  <c r="D6"/>
  <c r="D103" i="51"/>
  <c r="N24" i="81"/>
  <c r="F101" i="65"/>
  <c r="D98" i="91"/>
  <c r="G106" i="49"/>
  <c r="F74" i="35"/>
  <c r="G13" i="65"/>
  <c r="N32" i="33"/>
  <c r="H92" i="39"/>
  <c r="I38" i="54"/>
  <c r="I30" i="38"/>
  <c r="F37" i="55"/>
  <c r="K38" i="38"/>
  <c r="H30" i="19"/>
  <c r="F10" i="77"/>
  <c r="N62" i="29"/>
  <c r="L6" i="19"/>
  <c r="K56" i="25"/>
  <c r="M26" i="29"/>
  <c r="D47" i="82"/>
  <c r="G42" i="80"/>
  <c r="F56" i="52"/>
  <c r="F54" i="57"/>
  <c r="G24" i="78"/>
  <c r="J64" i="27"/>
  <c r="L98" i="26"/>
  <c r="I12" i="46"/>
  <c r="H47" i="50"/>
  <c r="K94" i="48"/>
  <c r="E5" i="65"/>
  <c r="K46" i="61"/>
  <c r="J74" i="26"/>
  <c r="G19" i="84"/>
  <c r="I47" i="46"/>
  <c r="H40" i="91"/>
  <c r="F107" i="76"/>
  <c r="H26" i="51"/>
  <c r="D40" i="94"/>
  <c r="H4" i="74"/>
  <c r="E101"/>
  <c r="G38" i="66"/>
  <c r="L98" i="40"/>
  <c r="F42" i="86"/>
  <c r="L11" i="94"/>
  <c r="E92" i="71"/>
  <c r="H94" i="48"/>
  <c r="J104" i="41"/>
  <c r="K58" i="29"/>
  <c r="D107" i="66"/>
  <c r="E54" i="63"/>
  <c r="O91" i="36"/>
  <c r="J49" i="27"/>
  <c r="N49" i="72"/>
  <c r="E74" i="54"/>
  <c r="M51" i="58"/>
  <c r="G57" i="29"/>
  <c r="G44" i="43"/>
  <c r="D27" i="34"/>
  <c r="K86" i="63"/>
  <c r="M6" i="58"/>
  <c r="H48" i="79"/>
  <c r="K85" i="65"/>
  <c r="L38" i="69"/>
  <c r="I38" i="38"/>
  <c r="F76" i="29"/>
  <c r="J29" i="58"/>
  <c r="E37" i="66"/>
  <c r="M68"/>
  <c r="G6" i="87"/>
  <c r="K80" i="77"/>
  <c r="E92" i="76"/>
  <c r="M44" i="19"/>
  <c r="E14" i="48"/>
  <c r="H74" i="27"/>
  <c r="K61" i="78"/>
  <c r="F70" i="49"/>
  <c r="M40" i="63"/>
  <c r="N40" i="34"/>
  <c r="H64" i="67"/>
  <c r="H6" i="79"/>
  <c r="L46" i="84"/>
  <c r="F31" i="75"/>
  <c r="H44" i="89"/>
  <c r="D32" i="90"/>
  <c r="I46" i="83"/>
  <c r="G88" i="19"/>
  <c r="K56" i="44"/>
  <c r="J100" i="64"/>
  <c r="E31" i="63"/>
  <c r="G64" i="25"/>
  <c r="O9" i="65"/>
  <c r="H61" i="71"/>
  <c r="F62" i="29"/>
  <c r="L54" i="64"/>
  <c r="L82" i="55"/>
  <c r="J76" i="74"/>
  <c r="J80" i="27"/>
  <c r="I54" i="81"/>
  <c r="F37" i="36"/>
  <c r="H98" i="76"/>
  <c r="M57" i="66"/>
  <c r="E33" i="39"/>
  <c r="O37" i="72"/>
  <c r="F91" i="84"/>
  <c r="D53" i="55"/>
  <c r="E35" i="59"/>
  <c r="L77" i="65"/>
  <c r="O15" i="68"/>
  <c r="K92" i="39"/>
  <c r="K31" i="80"/>
  <c r="G82"/>
  <c r="M30" i="89"/>
  <c r="H79" i="70"/>
  <c r="M86" i="86"/>
  <c r="E27" i="27"/>
  <c r="N107" i="82"/>
  <c r="G32" i="36"/>
  <c r="M12" i="61"/>
  <c r="O9" i="49"/>
  <c r="M12" i="71"/>
  <c r="M45" i="89"/>
  <c r="D17" i="85"/>
  <c r="I4" i="91"/>
  <c r="F47" i="52"/>
  <c r="G65" i="48"/>
  <c r="E20" i="73"/>
  <c r="N39" i="92"/>
  <c r="O92"/>
  <c r="E18" i="19"/>
  <c r="F89" i="50"/>
  <c r="O53" i="48"/>
  <c r="N26" i="84"/>
  <c r="N30" i="51"/>
  <c r="E82" i="62"/>
  <c r="M95"/>
  <c r="E46" i="29"/>
  <c r="D50" i="80"/>
  <c r="N20" i="33"/>
  <c r="L83" i="36"/>
  <c r="D34" i="68"/>
  <c r="O64" i="25"/>
  <c r="G59" i="46"/>
  <c r="O51" i="84"/>
  <c r="G9" i="91"/>
  <c r="H23" i="66"/>
  <c r="N17" i="93"/>
  <c r="H24" i="81"/>
  <c r="I86" i="71"/>
  <c r="O59" i="91"/>
  <c r="L76" i="39"/>
  <c r="K91" i="91"/>
  <c r="L103" i="46"/>
  <c r="K55" i="58"/>
  <c r="O103"/>
  <c r="M34" i="45"/>
  <c r="M11" i="72"/>
  <c r="J14" i="65"/>
  <c r="N62" i="81"/>
  <c r="H97" i="90"/>
  <c r="J48" i="38"/>
  <c r="E41" i="53"/>
  <c r="N20" i="46"/>
  <c r="N48" i="66"/>
  <c r="I7" i="67"/>
  <c r="J89" i="53"/>
  <c r="M21" i="46"/>
  <c r="N36" i="89"/>
  <c r="K62" i="38"/>
  <c r="H18" i="19"/>
  <c r="O101" i="38"/>
  <c r="L98" i="56"/>
  <c r="E9" i="67"/>
  <c r="K27" i="44"/>
  <c r="K59" i="94"/>
  <c r="I40" i="87"/>
  <c r="H80" i="30"/>
  <c r="E86" i="60"/>
  <c r="J61" i="89"/>
  <c r="G100" i="50"/>
  <c r="E9" i="91"/>
  <c r="M83" i="36"/>
  <c r="G8" i="85"/>
  <c r="F15" i="41"/>
  <c r="K79" i="91"/>
  <c r="E82" i="46"/>
  <c r="H44" i="79"/>
  <c r="H25" i="40"/>
  <c r="L26" i="82"/>
  <c r="N103" i="71"/>
  <c r="E55" i="39"/>
  <c r="G104" i="94"/>
  <c r="D44" i="49"/>
  <c r="H106" i="73"/>
  <c r="I32" i="50"/>
  <c r="G77" i="85"/>
  <c r="L37" i="51"/>
  <c r="O83" i="35"/>
  <c r="J59" i="41"/>
  <c r="J7" i="89"/>
  <c r="J92" i="73"/>
  <c r="E21" i="92"/>
  <c r="F25" i="80"/>
  <c r="K94" i="39"/>
  <c r="F97" i="46"/>
  <c r="O5" i="84"/>
  <c r="L32" i="91"/>
  <c r="E82" i="34"/>
  <c r="G70" i="93"/>
  <c r="G97" i="61"/>
  <c r="J20" i="27"/>
  <c r="M30" i="59"/>
  <c r="H68" i="52"/>
  <c r="G42" i="77"/>
  <c r="F38" i="42"/>
  <c r="F68" i="46"/>
  <c r="M43" i="38"/>
  <c r="E61" i="59"/>
  <c r="L106" i="45"/>
  <c r="E104" i="89"/>
  <c r="H27" i="67"/>
  <c r="D97" i="91"/>
  <c r="O38" i="67"/>
  <c r="N13" i="48"/>
  <c r="I74" i="46"/>
  <c r="N97" i="55"/>
  <c r="N71" i="44"/>
  <c r="L88" i="41"/>
  <c r="L43" i="48"/>
  <c r="O106" i="54"/>
  <c r="D40" i="68"/>
  <c r="J5" i="30"/>
  <c r="F7" i="63"/>
  <c r="N88" i="30"/>
  <c r="F39" i="41"/>
  <c r="E82" i="60"/>
  <c r="I77" i="45"/>
  <c r="K97" i="25"/>
  <c r="L79" i="81"/>
  <c r="L38" i="46"/>
  <c r="F31" i="64"/>
  <c r="D17" i="70"/>
  <c r="H40" i="82"/>
  <c r="I44" i="46"/>
  <c r="J24" i="91"/>
  <c r="I61" i="81"/>
  <c r="J54" i="82"/>
  <c r="L9" i="36"/>
  <c r="I41" i="35"/>
  <c r="L40" i="53"/>
  <c r="J53" i="46"/>
  <c r="N46" i="29"/>
  <c r="I25" i="60"/>
  <c r="O25" i="68"/>
  <c r="J83" i="78"/>
  <c r="D14" i="33"/>
  <c r="I74" i="56"/>
  <c r="F43" i="93"/>
  <c r="K18" i="25"/>
  <c r="F98" i="90"/>
  <c r="J48" i="67"/>
  <c r="D21" i="84"/>
  <c r="L20" i="32"/>
  <c r="L89" i="59"/>
  <c r="F20" i="86"/>
  <c r="O50" i="44"/>
  <c r="F94" i="59"/>
  <c r="N10" i="94"/>
  <c r="E10" i="66"/>
  <c r="F35" i="44"/>
  <c r="G73" i="67"/>
  <c r="N50" i="25"/>
  <c r="G85" i="93"/>
  <c r="H29" i="66"/>
  <c r="J15" i="94"/>
  <c r="K104" i="77"/>
  <c r="M100" i="75"/>
  <c r="L24" i="53"/>
  <c r="D37" i="38"/>
  <c r="O19" i="35"/>
  <c r="E27" i="38"/>
  <c r="G104" i="51"/>
  <c r="G86" i="34"/>
  <c r="F77" i="58"/>
  <c r="L42" i="70"/>
  <c r="E5" i="29"/>
  <c r="O15" i="69"/>
  <c r="N42" i="48"/>
  <c r="K36" i="55"/>
  <c r="E30" i="71"/>
  <c r="M68" i="86"/>
  <c r="E61" i="40"/>
  <c r="J48" i="57"/>
  <c r="E53" i="73"/>
  <c r="E32" i="62"/>
  <c r="H79" i="50"/>
  <c r="M61" i="82"/>
  <c r="N89" i="53"/>
  <c r="M15" i="62"/>
  <c r="E68" i="55"/>
  <c r="I13" i="19"/>
  <c r="J85" i="61"/>
  <c r="I4" i="26"/>
  <c r="K29" i="19"/>
  <c r="L16" i="77"/>
  <c r="H40" i="27"/>
  <c r="J80" i="80"/>
  <c r="J8" i="61"/>
  <c r="K22" i="80"/>
  <c r="E61"/>
  <c r="K17" i="40"/>
  <c r="K65" i="76"/>
  <c r="K7" i="82"/>
  <c r="D55" i="73"/>
  <c r="L5" i="29"/>
  <c r="E61" i="52"/>
  <c r="E52" i="30"/>
  <c r="K61" i="81"/>
  <c r="G13" i="45"/>
  <c r="I6" i="79"/>
  <c r="D48" i="66"/>
  <c r="F18" i="82"/>
  <c r="K89" i="63"/>
  <c r="I16" i="49"/>
  <c r="L27" i="36"/>
  <c r="F98" i="49"/>
  <c r="L6" i="27"/>
  <c r="D10" i="41"/>
  <c r="E52" i="74"/>
  <c r="K40" i="59"/>
  <c r="H12" i="68"/>
  <c r="L44" i="48"/>
  <c r="K31" i="86"/>
  <c r="E27" i="54"/>
  <c r="G82" i="57"/>
  <c r="E5" i="83"/>
  <c r="L55" i="41"/>
  <c r="M86" i="82"/>
  <c r="M58" i="26"/>
  <c r="G37" i="33"/>
  <c r="F33" i="27"/>
  <c r="N26" i="80"/>
  <c r="F39" i="25"/>
  <c r="J16" i="68"/>
  <c r="K88"/>
  <c r="E94" i="36"/>
  <c r="N92" i="61"/>
  <c r="K20" i="58"/>
  <c r="I86" i="59"/>
  <c r="M71" i="77"/>
  <c r="F86" i="76"/>
  <c r="O61" i="87"/>
  <c r="L9" i="41"/>
  <c r="L70" i="73"/>
  <c r="F11" i="86"/>
  <c r="K58" i="46"/>
  <c r="G18" i="32"/>
  <c r="L70" i="76"/>
  <c r="D100" i="44"/>
  <c r="F42" i="83"/>
  <c r="H89" i="70"/>
  <c r="I24" i="30"/>
  <c r="G49" i="26"/>
  <c r="N9" i="65"/>
  <c r="N33" i="93"/>
  <c r="K24" i="61"/>
  <c r="H12" i="29"/>
  <c r="F32" i="19"/>
  <c r="J68" i="83"/>
  <c r="E83" i="56"/>
  <c r="G85" i="55"/>
  <c r="N36" i="73"/>
  <c r="M51" i="49"/>
  <c r="K101" i="74"/>
  <c r="I37" i="62"/>
  <c r="H62" i="49"/>
  <c r="F57" i="68"/>
  <c r="L33" i="27"/>
  <c r="M71" i="94"/>
  <c r="H54" i="48"/>
  <c r="M49" i="89"/>
  <c r="H29" i="59"/>
  <c r="H82" i="40"/>
  <c r="G51" i="93"/>
  <c r="N98" i="64"/>
  <c r="G37" i="65"/>
  <c r="I104" i="81"/>
  <c r="N37" i="57"/>
  <c r="H50" i="19"/>
  <c r="L57" i="48"/>
  <c r="F59" i="92"/>
  <c r="J41" i="65"/>
  <c r="D64" i="87"/>
  <c r="F20" i="63"/>
  <c r="N79" i="35"/>
  <c r="J61" i="43"/>
  <c r="H19" i="70"/>
  <c r="K28" i="54"/>
  <c r="I14" i="66"/>
  <c r="I30" i="40"/>
  <c r="I37" i="49"/>
  <c r="J51" i="92"/>
  <c r="G41" i="54"/>
  <c r="E95" i="40"/>
  <c r="H43" i="63"/>
  <c r="L34" i="82"/>
  <c r="K107" i="47"/>
  <c r="H103" i="83"/>
  <c r="N40" i="29"/>
  <c r="N80" i="32"/>
  <c r="D34" i="49"/>
  <c r="G9" i="79"/>
  <c r="I65" i="63"/>
  <c r="E16" i="86"/>
  <c r="M83" i="87"/>
  <c r="H56" i="52"/>
  <c r="O14" i="90"/>
  <c r="I14" i="38"/>
  <c r="H29" i="54"/>
  <c r="F45" i="94"/>
  <c r="I34" i="32"/>
  <c r="K5" i="83"/>
  <c r="O26" i="51"/>
  <c r="G32" i="83"/>
  <c r="J52" i="53"/>
  <c r="O80" i="75"/>
  <c r="D101" i="55"/>
  <c r="E50" i="60"/>
  <c r="E27" i="49"/>
  <c r="F17" i="55"/>
  <c r="E68" i="75"/>
  <c r="E13" i="91"/>
  <c r="F74" i="68"/>
  <c r="O53" i="80"/>
  <c r="L56" i="45"/>
  <c r="G17" i="59"/>
  <c r="F41" i="27"/>
  <c r="I77" i="72"/>
  <c r="N36" i="65"/>
  <c r="I8" i="59"/>
  <c r="M53" i="51"/>
  <c r="K32" i="57"/>
  <c r="G7" i="87"/>
  <c r="F58" i="63"/>
  <c r="D71" i="82"/>
  <c r="J15" i="75"/>
  <c r="E58" i="57"/>
  <c r="H104" i="59"/>
  <c r="F55" i="92"/>
  <c r="D34" i="76"/>
  <c r="D42" i="54"/>
  <c r="D28" i="48"/>
  <c r="J85" i="77"/>
  <c r="D24" i="89"/>
  <c r="J58" i="92"/>
  <c r="K43" i="19"/>
  <c r="L43" i="74"/>
  <c r="N23" i="19"/>
  <c r="E37" i="41"/>
  <c r="G34" i="46"/>
  <c r="F7" i="57"/>
  <c r="G88" i="66"/>
  <c r="O23" i="19"/>
  <c r="J49" i="59"/>
  <c r="M26" i="70"/>
  <c r="F19" i="62"/>
  <c r="N31" i="54"/>
  <c r="J77" i="80"/>
  <c r="O71" i="33"/>
  <c r="K36" i="78"/>
  <c r="K92" i="35"/>
  <c r="I56" i="33"/>
  <c r="I104" i="63"/>
  <c r="I70"/>
  <c r="E34" i="43"/>
  <c r="J57" i="47"/>
  <c r="I98" i="54"/>
  <c r="G54" i="70"/>
  <c r="J12" i="36"/>
  <c r="I67" i="66"/>
  <c r="I31" i="47"/>
  <c r="D55" i="90"/>
  <c r="G29" i="65"/>
  <c r="J56" i="43"/>
  <c r="M31" i="62"/>
  <c r="G68" i="25"/>
  <c r="F85" i="67"/>
  <c r="H17" i="82"/>
  <c r="J80" i="94"/>
  <c r="D52" i="34"/>
  <c r="E16" i="79"/>
  <c r="K10" i="63"/>
  <c r="J28" i="51"/>
  <c r="J44" i="67"/>
  <c r="I12" i="39"/>
  <c r="D57" i="53"/>
  <c r="M13" i="89"/>
  <c r="G44" i="66"/>
  <c r="L46" i="70"/>
  <c r="F44" i="39"/>
  <c r="J80" i="43"/>
  <c r="E57" i="25"/>
  <c r="E23" i="70"/>
  <c r="N55" i="44"/>
  <c r="L44" i="25"/>
  <c r="K98" i="61"/>
  <c r="M6" i="36"/>
  <c r="J106" i="61"/>
  <c r="F88" i="91"/>
  <c r="D64" i="89"/>
  <c r="G45" i="86"/>
  <c r="D33" i="58"/>
  <c r="K33" i="45"/>
  <c r="J49" i="84"/>
  <c r="E88" i="65"/>
  <c r="D82" i="49"/>
  <c r="D101" i="89"/>
  <c r="J36" i="56"/>
  <c r="D86" i="35"/>
  <c r="E56" i="51"/>
  <c r="L23" i="46"/>
  <c r="G65" i="85"/>
  <c r="L48" i="59"/>
  <c r="H57" i="92"/>
  <c r="K12" i="93"/>
  <c r="O53" i="35"/>
  <c r="E77" i="93"/>
  <c r="D104" i="68"/>
  <c r="N100" i="58"/>
  <c r="K34" i="44"/>
  <c r="K74" i="25"/>
  <c r="E89" i="30"/>
  <c r="H67" i="38"/>
  <c r="H31" i="75"/>
  <c r="D38" i="35"/>
  <c r="N46" i="57"/>
  <c r="I42" i="78"/>
  <c r="N10" i="59"/>
  <c r="J70" i="26"/>
  <c r="D73" i="27"/>
  <c r="D5" i="55"/>
  <c r="J53" i="47"/>
  <c r="D41" i="91"/>
  <c r="M19" i="33"/>
  <c r="G54" i="63"/>
  <c r="E13" i="29"/>
  <c r="M100" i="51"/>
  <c r="D48" i="34"/>
  <c r="D43" i="26"/>
  <c r="I57" i="69"/>
  <c r="L64" i="75"/>
  <c r="G39" i="81"/>
  <c r="O11" i="45"/>
  <c r="L104" i="84"/>
  <c r="F57" i="39"/>
  <c r="G28" i="66"/>
  <c r="M37" i="56"/>
  <c r="G23" i="89"/>
  <c r="D82" i="67"/>
  <c r="E59" i="65"/>
  <c r="G73" i="48"/>
  <c r="E17" i="56"/>
  <c r="J67" i="25"/>
  <c r="G28" i="68"/>
  <c r="N22" i="67"/>
  <c r="D38" i="87"/>
  <c r="M36" i="53"/>
  <c r="K83" i="73"/>
  <c r="M15" i="63"/>
  <c r="N35" i="89"/>
  <c r="O38" i="64"/>
  <c r="J76" i="58"/>
  <c r="N37" i="70"/>
  <c r="J40" i="39"/>
  <c r="O21" i="62"/>
  <c r="J59" i="47"/>
  <c r="J43" i="87"/>
  <c r="G55" i="62"/>
  <c r="H9" i="90"/>
  <c r="O21" i="69"/>
  <c r="E8" i="82"/>
  <c r="M41" i="40"/>
  <c r="O77" i="89"/>
  <c r="N54" i="54"/>
  <c r="H56" i="50"/>
  <c r="D39" i="19"/>
  <c r="N39" i="30"/>
  <c r="O106" i="66"/>
  <c r="I14" i="52"/>
  <c r="M52" i="63"/>
  <c r="N91" i="68"/>
  <c r="I64" i="79"/>
  <c r="J12" i="69"/>
  <c r="J64" i="55"/>
  <c r="I14" i="77"/>
  <c r="I61" i="25"/>
  <c r="G71" i="58"/>
  <c r="M31" i="75"/>
  <c r="G5" i="35"/>
  <c r="H27" i="80"/>
  <c r="M107" i="87"/>
  <c r="G16" i="62"/>
  <c r="N77" i="58"/>
  <c r="N62" i="65"/>
  <c r="I79" i="50"/>
  <c r="H79" i="51"/>
  <c r="F64"/>
  <c r="D41" i="43"/>
  <c r="O56" i="45"/>
  <c r="H27" i="26"/>
  <c r="L6" i="29"/>
  <c r="M100" i="45"/>
  <c r="F76" i="59"/>
  <c r="G89" i="46"/>
  <c r="J35" i="41"/>
  <c r="I37" i="54"/>
  <c r="O35" i="41"/>
  <c r="M46" i="74"/>
  <c r="E52" i="66"/>
  <c r="K76" i="48"/>
  <c r="G104" i="55"/>
  <c r="D103" i="25"/>
  <c r="M44" i="61"/>
  <c r="E9" i="29"/>
  <c r="N58" i="94"/>
  <c r="I82" i="35"/>
  <c r="J91" i="64"/>
  <c r="E57" i="45"/>
  <c r="L34" i="71"/>
  <c r="G39" i="58"/>
  <c r="G74" i="53"/>
  <c r="H101" i="90"/>
  <c r="D6" i="75"/>
  <c r="L41" i="56"/>
  <c r="N42" i="49"/>
  <c r="J25" i="35"/>
  <c r="N97" i="60"/>
  <c r="N106" i="58"/>
  <c r="G25" i="60"/>
  <c r="I34" i="27"/>
  <c r="L59"/>
  <c r="G13" i="66"/>
  <c r="O39" i="27"/>
  <c r="D104" i="90"/>
  <c r="E94" i="60"/>
  <c r="F82" i="87"/>
  <c r="N79" i="86"/>
  <c r="D48" i="62"/>
  <c r="N36" i="84"/>
  <c r="L7" i="66"/>
  <c r="I35" i="65"/>
  <c r="J19"/>
  <c r="K73" i="60"/>
  <c r="G94" i="35"/>
  <c r="J92" i="83"/>
  <c r="F20" i="82"/>
  <c r="O34" i="80"/>
  <c r="F44" i="35"/>
  <c r="K48" i="82"/>
  <c r="G38" i="47"/>
  <c r="O42" i="32"/>
  <c r="H32" i="27"/>
  <c r="N88" i="38"/>
  <c r="D6" i="71"/>
  <c r="K73" i="32"/>
  <c r="E27" i="74"/>
  <c r="L45" i="48"/>
  <c r="I73" i="45"/>
  <c r="I37" i="77"/>
  <c r="D37" i="62"/>
  <c r="M47" i="73"/>
  <c r="O74" i="71"/>
  <c r="H23" i="56"/>
  <c r="D67" i="42"/>
  <c r="G54" i="25"/>
  <c r="M10" i="26"/>
  <c r="G4" i="29"/>
  <c r="L32" i="38"/>
  <c r="E65" i="29"/>
  <c r="M39" i="25"/>
  <c r="N13" i="43"/>
  <c r="I59" i="93"/>
  <c r="D24" i="86"/>
  <c r="F22" i="43"/>
  <c r="M67"/>
  <c r="N79" i="29"/>
  <c r="O77" i="94"/>
  <c r="K98" i="34"/>
  <c r="D65" i="36"/>
  <c r="O68" i="74"/>
  <c r="J74" i="41"/>
  <c r="H50" i="25"/>
  <c r="K59" i="68"/>
  <c r="I11" i="32"/>
  <c r="O37" i="73"/>
  <c r="G40"/>
  <c r="N107" i="27"/>
  <c r="F91" i="62"/>
  <c r="I44" i="61"/>
  <c r="O16" i="48"/>
  <c r="H12" i="43"/>
  <c r="I13" i="77"/>
  <c r="G15" i="61"/>
  <c r="L101" i="19"/>
  <c r="N6" i="61"/>
  <c r="K97" i="30"/>
  <c r="H34"/>
  <c r="N32" i="78"/>
  <c r="F57" i="69"/>
  <c r="K42"/>
  <c r="L56" i="54"/>
  <c r="I47" i="41"/>
  <c r="M29" i="71"/>
  <c r="H38" i="32"/>
  <c r="H21" i="77"/>
  <c r="G71" i="36"/>
  <c r="J71" i="48"/>
  <c r="M74" i="78"/>
  <c r="J58" i="33"/>
  <c r="N27" i="63"/>
  <c r="G67" i="81"/>
  <c r="N53" i="32"/>
  <c r="H5" i="52"/>
  <c r="L80" i="30"/>
  <c r="I86" i="53"/>
  <c r="F38" i="30"/>
  <c r="G15" i="85"/>
  <c r="J50" i="80"/>
  <c r="I9" i="25"/>
  <c r="I5" i="63"/>
  <c r="J43" i="86"/>
  <c r="H73" i="79"/>
  <c r="D83" i="90"/>
  <c r="M54" i="68"/>
  <c r="K4" i="45"/>
  <c r="H18" i="76"/>
  <c r="H39" i="73"/>
  <c r="K83" i="78"/>
  <c r="H107" i="89"/>
  <c r="O18" i="69"/>
  <c r="K34" i="46"/>
  <c r="I58" i="83"/>
  <c r="H65" i="62"/>
  <c r="G107" i="39"/>
  <c r="J20" i="91"/>
  <c r="G51" i="56"/>
  <c r="H76" i="30"/>
  <c r="F15" i="26"/>
  <c r="M19" i="19"/>
  <c r="H56" i="75"/>
  <c r="E9" i="61"/>
  <c r="F5" i="64"/>
  <c r="N16" i="49"/>
  <c r="H59" i="54"/>
  <c r="N70" i="68"/>
  <c r="O100" i="83"/>
  <c r="E68" i="79"/>
  <c r="F43" i="70"/>
  <c r="H21" i="62"/>
  <c r="I56" i="79"/>
  <c r="I86" i="90"/>
  <c r="K58" i="84"/>
  <c r="E20" i="91"/>
  <c r="I98" i="89"/>
  <c r="H16" i="72"/>
  <c r="N11" i="48"/>
  <c r="F55" i="41"/>
  <c r="E33" i="59"/>
  <c r="H48" i="41"/>
  <c r="J18" i="29"/>
  <c r="H100" i="49"/>
  <c r="D47" i="40"/>
  <c r="E38" i="59"/>
  <c r="I54" i="65"/>
  <c r="M57" i="71"/>
  <c r="F41" i="85"/>
  <c r="K73" i="78"/>
  <c r="N42" i="75"/>
  <c r="I37" i="79"/>
  <c r="L39" i="35"/>
  <c r="K73" i="94"/>
  <c r="F36" i="44"/>
  <c r="D35" i="93"/>
  <c r="K17" i="82"/>
  <c r="I47" i="43"/>
  <c r="I37" i="61"/>
  <c r="O16" i="63"/>
  <c r="G24" i="53"/>
  <c r="D15" i="45"/>
  <c r="E43" i="85"/>
  <c r="G6" i="57"/>
  <c r="D100" i="59"/>
  <c r="L44" i="62"/>
  <c r="D36" i="59"/>
  <c r="N13" i="83"/>
  <c r="G46" i="54"/>
  <c r="H107" i="44"/>
  <c r="K73" i="59"/>
  <c r="O57" i="55"/>
  <c r="H71" i="75"/>
  <c r="J107" i="83"/>
  <c r="O95" i="94"/>
  <c r="L38" i="64"/>
  <c r="D4" i="93"/>
  <c r="I52"/>
  <c r="M41" i="59"/>
  <c r="N101" i="90"/>
  <c r="E61" i="69"/>
  <c r="J74" i="56"/>
  <c r="M88" i="53"/>
  <c r="G74" i="40"/>
  <c r="L29" i="41"/>
  <c r="F20" i="62"/>
  <c r="E30" i="94"/>
  <c r="K32" i="74"/>
  <c r="J56" i="25"/>
  <c r="H25" i="74"/>
  <c r="G88" i="63"/>
  <c r="F28" i="68"/>
  <c r="J65" i="61"/>
  <c r="K37" i="76"/>
  <c r="G88" i="30"/>
  <c r="I19" i="60"/>
  <c r="E22" i="59"/>
  <c r="D88" i="27"/>
  <c r="K50" i="34"/>
  <c r="I11" i="75"/>
  <c r="E24" i="67"/>
  <c r="I26" i="36"/>
  <c r="D80" i="41"/>
  <c r="G71" i="51"/>
  <c r="N103" i="74"/>
  <c r="G73" i="58"/>
  <c r="L68" i="54"/>
  <c r="E65" i="25"/>
  <c r="G56" i="38"/>
  <c r="G50" i="80"/>
  <c r="L35" i="40"/>
  <c r="G62" i="73"/>
  <c r="D106" i="90"/>
  <c r="D27" i="87"/>
  <c r="F36"/>
  <c r="N52" i="27"/>
  <c r="K100" i="30"/>
  <c r="E103" i="57"/>
  <c r="G71" i="81"/>
  <c r="M4" i="32"/>
  <c r="F24" i="62"/>
  <c r="O33" i="51"/>
  <c r="H85" i="70"/>
  <c r="F58" i="30"/>
  <c r="E37" i="92"/>
  <c r="N22" i="73"/>
  <c r="I16" i="27"/>
  <c r="K51" i="91"/>
  <c r="I11"/>
  <c r="I8" i="76"/>
  <c r="D42" i="55"/>
  <c r="G15" i="72"/>
  <c r="K17" i="87"/>
  <c r="G73" i="32"/>
  <c r="K28" i="73"/>
  <c r="H103" i="33"/>
  <c r="G11" i="43"/>
  <c r="L65" i="39"/>
  <c r="M76" i="94"/>
  <c r="D73" i="93"/>
  <c r="F28" i="69"/>
  <c r="E35" i="55"/>
  <c r="D40" i="29"/>
  <c r="J43" i="63"/>
  <c r="O23" i="87"/>
  <c r="E80" i="50"/>
  <c r="J50" i="73"/>
  <c r="G53" i="65"/>
  <c r="J38" i="68"/>
  <c r="J33" i="56"/>
  <c r="G59" i="64"/>
  <c r="I18" i="84"/>
  <c r="F6" i="80"/>
  <c r="M83"/>
  <c r="L106" i="59"/>
  <c r="K31" i="81"/>
  <c r="G37" i="25"/>
  <c r="O40" i="67"/>
  <c r="E49" i="53"/>
  <c r="E106" i="41"/>
  <c r="I36" i="45"/>
  <c r="E89" i="81"/>
  <c r="G26" i="45"/>
  <c r="G28" i="35"/>
  <c r="F38" i="72"/>
  <c r="J88" i="71"/>
  <c r="O88" i="35"/>
  <c r="J36" i="45"/>
  <c r="F47" i="94"/>
  <c r="H11" i="46"/>
  <c r="I17" i="80"/>
  <c r="O67" i="51"/>
  <c r="K89" i="60"/>
  <c r="G13" i="47"/>
  <c r="O11" i="84"/>
  <c r="F100" i="91"/>
  <c r="M7" i="74"/>
  <c r="O37" i="45"/>
  <c r="J40" i="58"/>
  <c r="L27" i="92"/>
  <c r="N35" i="83"/>
  <c r="J106" i="71"/>
  <c r="K8" i="59"/>
  <c r="D11" i="61"/>
  <c r="F41" i="59"/>
  <c r="I98" i="65"/>
  <c r="H85" i="72"/>
  <c r="I74" i="78"/>
  <c r="D18" i="19"/>
  <c r="O40" i="73"/>
  <c r="O5" i="71"/>
  <c r="L100"/>
  <c r="I68" i="50"/>
  <c r="F11" i="76"/>
  <c r="F18" i="93"/>
  <c r="J76" i="69"/>
  <c r="G13" i="51"/>
  <c r="J98" i="67"/>
  <c r="I32"/>
  <c r="E55" i="84"/>
  <c r="H59" i="80"/>
  <c r="K91" i="30"/>
  <c r="O27" i="61"/>
  <c r="J35" i="63"/>
  <c r="H104" i="89"/>
  <c r="I24" i="42"/>
  <c r="H107" i="71"/>
  <c r="F12" i="48"/>
  <c r="G48" i="55"/>
  <c r="O27" i="93"/>
  <c r="E83" i="33"/>
  <c r="K6" i="62"/>
  <c r="H19" i="29"/>
  <c r="N15" i="39"/>
  <c r="D98" i="43"/>
  <c r="L30" i="93"/>
  <c r="H62" i="19"/>
  <c r="G76" i="87"/>
  <c r="K41" i="81"/>
  <c r="M95" i="70"/>
  <c r="J24" i="19"/>
  <c r="M74" i="54"/>
  <c r="O16" i="92"/>
  <c r="F31" i="58"/>
  <c r="J100" i="92"/>
  <c r="J89" i="91"/>
  <c r="M41" i="63"/>
  <c r="O38" i="91"/>
  <c r="O56" i="89"/>
  <c r="H98" i="86"/>
  <c r="H52" i="38"/>
  <c r="H82" i="90"/>
  <c r="E57" i="43"/>
  <c r="I65" i="26"/>
  <c r="E51" i="35"/>
  <c r="H104" i="58"/>
  <c r="N11" i="60"/>
  <c r="D18" i="70"/>
  <c r="G59" i="90"/>
  <c r="M36" i="81"/>
  <c r="N49" i="58"/>
  <c r="O67" i="68"/>
  <c r="N30" i="64"/>
  <c r="H28" i="39"/>
  <c r="H95" i="61"/>
  <c r="H73" i="25"/>
  <c r="O37" i="41"/>
  <c r="H10" i="62"/>
  <c r="J71" i="82"/>
  <c r="G80" i="57"/>
  <c r="N27" i="35"/>
  <c r="D70"/>
  <c r="E48" i="91"/>
  <c r="I27" i="60"/>
  <c r="E92" i="51"/>
  <c r="E28" i="85"/>
  <c r="E54"/>
  <c r="I54" i="72"/>
  <c r="L54" i="35"/>
  <c r="E29" i="61"/>
  <c r="H39" i="50"/>
  <c r="K42" i="58"/>
  <c r="F49" i="67"/>
  <c r="M10" i="77"/>
  <c r="I67" i="40"/>
  <c r="J8" i="49"/>
  <c r="G26" i="92"/>
  <c r="D49" i="30"/>
  <c r="M34" i="84"/>
  <c r="O45" i="80"/>
  <c r="H26" i="34"/>
  <c r="M91" i="81"/>
  <c r="N76"/>
  <c r="D21"/>
  <c r="L101" i="33"/>
  <c r="E71" i="51"/>
  <c r="L95" i="91"/>
  <c r="E82" i="85"/>
  <c r="D40" i="65"/>
  <c r="H9" i="25"/>
  <c r="K26" i="32"/>
  <c r="M11" i="62"/>
  <c r="F7" i="30"/>
  <c r="N70" i="63"/>
  <c r="K49" i="66"/>
  <c r="N19" i="35"/>
  <c r="D6" i="49"/>
  <c r="O35" i="71"/>
  <c r="E55" i="68"/>
  <c r="K44" i="19"/>
  <c r="I30" i="84"/>
  <c r="F65" i="27"/>
  <c r="L19" i="41"/>
  <c r="I91" i="94"/>
  <c r="F20" i="58"/>
  <c r="D16" i="74"/>
  <c r="J16" i="30"/>
  <c r="M70" i="73"/>
  <c r="F48" i="19"/>
  <c r="N94" i="45"/>
  <c r="E27" i="61"/>
  <c r="M61" i="75"/>
  <c r="J6" i="81"/>
  <c r="F24" i="19"/>
  <c r="I64" i="68"/>
  <c r="J98" i="43"/>
  <c r="G4" i="27"/>
  <c r="N71" i="34"/>
  <c r="G45" i="32"/>
  <c r="G33" i="62"/>
  <c r="K44" i="92"/>
  <c r="H11" i="26"/>
  <c r="H61" i="89"/>
  <c r="I106" i="45"/>
  <c r="O49" i="19"/>
  <c r="E23" i="47"/>
  <c r="G80" i="29"/>
  <c r="I98" i="75"/>
  <c r="L80" i="84"/>
  <c r="E101"/>
  <c r="I91" i="69"/>
  <c r="F74" i="85"/>
  <c r="N11" i="27"/>
  <c r="D103" i="55"/>
  <c r="K27" i="80"/>
  <c r="M70" i="40"/>
  <c r="N85" i="62"/>
  <c r="D104" i="53"/>
  <c r="J52" i="59"/>
  <c r="D76" i="52"/>
  <c r="O46" i="27"/>
  <c r="H48" i="89"/>
  <c r="G5" i="69"/>
  <c r="D43" i="94"/>
  <c r="N30" i="92"/>
  <c r="K7" i="67"/>
  <c r="F52" i="19"/>
  <c r="J55" i="90"/>
  <c r="F30" i="72"/>
  <c r="J31" i="79"/>
  <c r="J48" i="89"/>
  <c r="F49" i="56"/>
  <c r="M35" i="63"/>
  <c r="I65" i="19"/>
  <c r="M44" i="81"/>
  <c r="M53" i="62"/>
  <c r="F5" i="27"/>
  <c r="J39" i="71"/>
  <c r="O64" i="26"/>
  <c r="H37" i="44"/>
  <c r="G13" i="91"/>
  <c r="I50" i="59"/>
  <c r="I43" i="26"/>
  <c r="M20" i="81"/>
  <c r="L35" i="39"/>
  <c r="E55" i="27"/>
  <c r="N11" i="26"/>
  <c r="K95" i="90"/>
  <c r="J6" i="46"/>
  <c r="E77" i="82"/>
  <c r="I86" i="56"/>
  <c r="O98" i="19"/>
  <c r="J97" i="76"/>
  <c r="H13" i="84"/>
  <c r="J14" i="68"/>
  <c r="K27" i="61"/>
  <c r="H25" i="49"/>
  <c r="O13" i="54"/>
  <c r="O62" i="38"/>
  <c r="F70" i="70"/>
  <c r="M53" i="35"/>
  <c r="H68" i="87"/>
  <c r="N27" i="29"/>
  <c r="O42" i="91"/>
  <c r="L42" i="72"/>
  <c r="I89" i="62"/>
  <c r="H50" i="75"/>
  <c r="J39" i="44"/>
  <c r="O17" i="29"/>
  <c r="G41" i="35"/>
  <c r="N67" i="75"/>
  <c r="I35" i="46"/>
  <c r="M86" i="81"/>
  <c r="J27" i="75"/>
  <c r="H17" i="69"/>
  <c r="K46" i="93"/>
  <c r="L7" i="81"/>
  <c r="K64" i="29"/>
  <c r="J82" i="72"/>
  <c r="M74" i="60"/>
  <c r="J77" i="39"/>
  <c r="M64" i="64"/>
  <c r="F39" i="53"/>
  <c r="G85" i="79"/>
  <c r="G23" i="52"/>
  <c r="D48" i="68"/>
  <c r="L22" i="73"/>
  <c r="H21" i="33"/>
  <c r="I29" i="49"/>
  <c r="K70" i="38"/>
  <c r="D28" i="86"/>
  <c r="I22" i="43"/>
  <c r="N98" i="35"/>
  <c r="O86" i="73"/>
  <c r="I38" i="34"/>
  <c r="H39" i="89"/>
  <c r="I32" i="64"/>
  <c r="E14" i="25"/>
  <c r="O52" i="91"/>
  <c r="K38" i="84"/>
  <c r="E71" i="87"/>
  <c r="F13" i="73"/>
  <c r="F28" i="29"/>
  <c r="N64" i="51"/>
  <c r="E17" i="54"/>
  <c r="N5" i="26"/>
  <c r="F77" i="41"/>
  <c r="M88" i="84"/>
  <c r="M76" i="29"/>
  <c r="K27" i="78"/>
  <c r="O64" i="29"/>
  <c r="F76" i="55"/>
  <c r="I101" i="85"/>
  <c r="F31" i="73"/>
  <c r="G7" i="85"/>
  <c r="F79" i="80"/>
  <c r="L16" i="19"/>
  <c r="E88" i="73"/>
  <c r="D77" i="92"/>
  <c r="K52" i="83"/>
  <c r="H37" i="49"/>
  <c r="E26" i="38"/>
  <c r="J43" i="34"/>
  <c r="H79" i="54"/>
  <c r="H25" i="66"/>
  <c r="O88" i="58"/>
  <c r="N40" i="62"/>
  <c r="H16" i="84"/>
  <c r="H68" i="29"/>
  <c r="N46" i="36"/>
  <c r="D36" i="93"/>
  <c r="L16" i="30"/>
  <c r="E82" i="83"/>
  <c r="K56" i="94"/>
  <c r="D88" i="46"/>
  <c r="D52" i="81"/>
  <c r="M103" i="55"/>
  <c r="L46" i="30"/>
  <c r="G5" i="33"/>
  <c r="N25" i="80"/>
  <c r="D47" i="56"/>
  <c r="D104" i="78"/>
  <c r="F26" i="94"/>
  <c r="I46" i="19"/>
  <c r="I64" i="80"/>
  <c r="E27" i="86"/>
  <c r="O10" i="72"/>
  <c r="F61" i="61"/>
  <c r="D44" i="41"/>
  <c r="H7" i="91"/>
  <c r="H10" i="69"/>
  <c r="L9"/>
  <c r="J22" i="46"/>
  <c r="G19" i="54"/>
  <c r="L21" i="78"/>
  <c r="F82" i="48"/>
  <c r="N76" i="89"/>
  <c r="H74" i="53"/>
  <c r="H94" i="50"/>
  <c r="N94" i="57"/>
  <c r="I82" i="48"/>
  <c r="H67" i="69"/>
  <c r="O11" i="90"/>
  <c r="L20" i="86"/>
  <c r="D15" i="59"/>
  <c r="M51" i="77"/>
  <c r="N103" i="27"/>
  <c r="G59" i="30"/>
  <c r="O70" i="19"/>
  <c r="O94" i="81"/>
  <c r="E70" i="62"/>
  <c r="H79" i="40"/>
  <c r="K18" i="35"/>
  <c r="E19" i="65"/>
  <c r="F91" i="19"/>
  <c r="K7" i="65"/>
  <c r="L91" i="53"/>
  <c r="G54" i="42"/>
  <c r="G32" i="32"/>
  <c r="G56" i="73"/>
  <c r="O76" i="34"/>
  <c r="J6" i="78"/>
  <c r="L80" i="71"/>
  <c r="N40" i="92"/>
  <c r="M46" i="40"/>
  <c r="O43" i="26"/>
  <c r="N5" i="30"/>
  <c r="H58" i="78"/>
  <c r="M12" i="45"/>
  <c r="K70" i="32"/>
  <c r="G28" i="38"/>
  <c r="H51" i="34"/>
  <c r="J95" i="91"/>
  <c r="I77" i="86"/>
  <c r="G47" i="67"/>
  <c r="H19" i="80"/>
  <c r="H24" i="83"/>
  <c r="O86" i="29"/>
  <c r="D51" i="46"/>
  <c r="O31" i="25"/>
  <c r="E98" i="89"/>
  <c r="G33" i="92"/>
  <c r="F104" i="29"/>
  <c r="I59" i="63"/>
  <c r="K7"/>
  <c r="D65" i="82"/>
  <c r="K40" i="84"/>
  <c r="H12" i="59"/>
  <c r="D61" i="54"/>
  <c r="E54" i="78"/>
  <c r="H29" i="51"/>
  <c r="E98" i="58"/>
  <c r="L41" i="90"/>
  <c r="G50" i="55"/>
  <c r="H94" i="80"/>
  <c r="D56" i="84"/>
  <c r="K38" i="64"/>
  <c r="H53" i="68"/>
  <c r="E88" i="26"/>
  <c r="F51" i="68"/>
  <c r="E74" i="91"/>
  <c r="G100" i="78"/>
  <c r="G40" i="50"/>
  <c r="H36" i="83"/>
  <c r="E24" i="65"/>
  <c r="E54" i="79"/>
  <c r="I68" i="92"/>
  <c r="L7" i="83"/>
  <c r="G95" i="93"/>
  <c r="G58" i="35"/>
  <c r="K28" i="81"/>
  <c r="D13" i="71"/>
  <c r="D68" i="30"/>
  <c r="F55" i="55"/>
  <c r="E31" i="61"/>
  <c r="F39" i="54"/>
  <c r="M8" i="83"/>
  <c r="G34" i="38"/>
  <c r="K26" i="92"/>
  <c r="D74" i="45"/>
  <c r="F73" i="19"/>
  <c r="N45" i="89"/>
  <c r="J14" i="29"/>
  <c r="K53" i="38"/>
  <c r="M56" i="63"/>
  <c r="F53" i="86"/>
  <c r="H46" i="30"/>
  <c r="M79" i="89"/>
  <c r="O65" i="70"/>
  <c r="F107" i="38"/>
  <c r="M83" i="29"/>
  <c r="M30" i="62"/>
  <c r="D18" i="93"/>
  <c r="I92" i="74"/>
  <c r="O29" i="62"/>
  <c r="M52" i="69"/>
  <c r="E61" i="38"/>
  <c r="M70" i="43"/>
  <c r="N43" i="81"/>
  <c r="H7" i="51"/>
  <c r="L92" i="60"/>
  <c r="J107" i="62"/>
  <c r="G7" i="56"/>
  <c r="F13" i="72"/>
  <c r="D79" i="45"/>
  <c r="J91" i="40"/>
  <c r="L6" i="90"/>
  <c r="J70" i="51"/>
  <c r="O10" i="78"/>
  <c r="G61" i="53"/>
  <c r="H4" i="83"/>
  <c r="D77" i="80"/>
  <c r="L35" i="54"/>
  <c r="G52" i="53"/>
  <c r="F61" i="72"/>
  <c r="D8" i="73"/>
  <c r="E104" i="51"/>
  <c r="H37" i="63"/>
  <c r="E95" i="33"/>
  <c r="G58" i="53"/>
  <c r="K48" i="47"/>
  <c r="M61" i="51"/>
  <c r="F88" i="35"/>
  <c r="O54" i="49"/>
  <c r="K29" i="32"/>
  <c r="O106" i="61"/>
  <c r="O52" i="59"/>
  <c r="N103" i="40"/>
  <c r="G6"/>
  <c r="F57" i="46"/>
  <c r="L58" i="44"/>
  <c r="I6" i="52"/>
  <c r="I40" i="67"/>
  <c r="L65" i="49"/>
  <c r="H57" i="56"/>
  <c r="J19" i="59"/>
  <c r="G56" i="56"/>
  <c r="D32" i="64"/>
  <c r="O9" i="86"/>
  <c r="O88" i="90"/>
  <c r="H41" i="19"/>
  <c r="I54" i="27"/>
  <c r="L62" i="47"/>
  <c r="D56" i="78"/>
  <c r="G82" i="75"/>
  <c r="O54" i="71"/>
  <c r="I103" i="73"/>
  <c r="M27" i="51"/>
  <c r="E61" i="29"/>
  <c r="H70" i="63"/>
  <c r="O56" i="66"/>
  <c r="D61" i="73"/>
  <c r="G68" i="56"/>
  <c r="H4" i="58"/>
  <c r="J104" i="32"/>
  <c r="E24" i="41"/>
  <c r="I21" i="82"/>
  <c r="E21" i="51"/>
  <c r="H98" i="43"/>
  <c r="G59" i="19"/>
  <c r="J10" i="59"/>
  <c r="E62" i="82"/>
  <c r="J50" i="41"/>
  <c r="H25" i="45"/>
  <c r="O15" i="25"/>
  <c r="H41" i="36"/>
  <c r="O45" i="59"/>
  <c r="H35" i="81"/>
  <c r="O83" i="89"/>
  <c r="N85" i="90"/>
  <c r="E107" i="34"/>
  <c r="M14" i="82"/>
  <c r="D56" i="49"/>
  <c r="L29" i="91"/>
  <c r="O13" i="77"/>
  <c r="L92" i="58"/>
  <c r="I45" i="46"/>
  <c r="N41"/>
  <c r="I12" i="51"/>
  <c r="N107" i="91"/>
  <c r="F41" i="68"/>
  <c r="K43" i="89"/>
  <c r="L56" i="68"/>
  <c r="E33" i="85"/>
  <c r="N68" i="26"/>
  <c r="E82" i="56"/>
  <c r="E41" i="40"/>
  <c r="I83" i="41"/>
  <c r="D46" i="76"/>
  <c r="E88" i="67"/>
  <c r="L95" i="44"/>
  <c r="D8"/>
  <c r="G22" i="53"/>
  <c r="N107" i="87"/>
  <c r="F30" i="53"/>
  <c r="H77" i="78"/>
  <c r="L32" i="46"/>
  <c r="N9" i="78"/>
  <c r="D24" i="49"/>
  <c r="F34" i="69"/>
  <c r="L92" i="38"/>
  <c r="O8" i="80"/>
  <c r="L12" i="27"/>
  <c r="H28" i="81"/>
  <c r="E42" i="79"/>
  <c r="M65" i="73"/>
  <c r="I86" i="44"/>
  <c r="J48" i="65"/>
  <c r="I26" i="87"/>
  <c r="O15" i="48"/>
  <c r="J95" i="67"/>
  <c r="L70" i="38"/>
  <c r="G11" i="70"/>
  <c r="M57" i="64"/>
  <c r="E49" i="79"/>
  <c r="J59" i="33"/>
  <c r="L6" i="59"/>
  <c r="N106" i="60"/>
  <c r="E68" i="50"/>
  <c r="G73" i="54"/>
  <c r="J14" i="89"/>
  <c r="L50" i="26"/>
  <c r="O86" i="41"/>
  <c r="H101" i="27"/>
  <c r="M77" i="75"/>
  <c r="J32" i="67"/>
  <c r="K47" i="78"/>
  <c r="N29" i="71"/>
  <c r="L71" i="29"/>
  <c r="N94" i="35"/>
  <c r="M59" i="81"/>
  <c r="H73" i="26"/>
  <c r="G58" i="59"/>
  <c r="M45" i="58"/>
  <c r="M70" i="39"/>
  <c r="E33" i="86"/>
  <c r="M58" i="61"/>
  <c r="D25" i="35"/>
  <c r="D82" i="84"/>
  <c r="I100" i="60"/>
  <c r="M16" i="57"/>
  <c r="N33" i="73"/>
  <c r="N21" i="87"/>
  <c r="G65"/>
  <c r="D77" i="89"/>
  <c r="H30" i="48"/>
  <c r="F42" i="75"/>
  <c r="L50" i="59"/>
  <c r="F27" i="69"/>
  <c r="I76" i="76"/>
  <c r="K10" i="35"/>
  <c r="M68" i="25"/>
  <c r="D80" i="34"/>
  <c r="E80" i="79"/>
  <c r="G29" i="54"/>
  <c r="J50" i="44"/>
  <c r="H33" i="94"/>
  <c r="D34" i="89"/>
  <c r="E83" i="64"/>
  <c r="E6" i="33"/>
  <c r="K21" i="25"/>
  <c r="M79" i="70"/>
  <c r="M83" i="59"/>
  <c r="H24" i="64"/>
  <c r="D4" i="39"/>
  <c r="L95" i="68"/>
  <c r="N89" i="26"/>
  <c r="J51" i="58"/>
  <c r="K86" i="86"/>
  <c r="I18" i="94"/>
  <c r="L5" i="36"/>
  <c r="K37" i="93"/>
  <c r="H18" i="72"/>
  <c r="K53" i="90"/>
  <c r="E10" i="80"/>
  <c r="N107" i="56"/>
  <c r="I79" i="43"/>
  <c r="D20" i="57"/>
  <c r="H24" i="49"/>
  <c r="L91" i="64"/>
  <c r="H77" i="63"/>
  <c r="J5" i="72"/>
  <c r="F17" i="77"/>
  <c r="F59" i="48"/>
  <c r="N19" i="29"/>
  <c r="L8" i="73"/>
  <c r="L65" i="62"/>
  <c r="I42" i="49"/>
  <c r="F32" i="26"/>
  <c r="H24" i="77"/>
  <c r="G42" i="52"/>
  <c r="H13" i="62"/>
  <c r="H21" i="43"/>
  <c r="J7" i="62"/>
  <c r="G71" i="75"/>
  <c r="H13" i="26"/>
  <c r="G107" i="82"/>
  <c r="F70" i="50"/>
  <c r="H51" i="68"/>
  <c r="E64" i="48"/>
  <c r="E18" i="35"/>
  <c r="L73" i="60"/>
  <c r="G53" i="48"/>
  <c r="K47" i="67"/>
  <c r="M100" i="36"/>
  <c r="F31" i="40"/>
  <c r="H37" i="85"/>
  <c r="K46" i="73"/>
  <c r="J94" i="35"/>
  <c r="K19" i="64"/>
  <c r="F92" i="82"/>
  <c r="N16" i="68"/>
  <c r="O88" i="54"/>
  <c r="I44" i="72"/>
  <c r="J14" i="81"/>
  <c r="L79" i="27"/>
  <c r="J4" i="83"/>
  <c r="G26" i="71"/>
  <c r="I91" i="62"/>
  <c r="E20" i="92"/>
  <c r="O76" i="77"/>
  <c r="H38" i="75"/>
  <c r="G22" i="83"/>
  <c r="L37" i="94"/>
  <c r="F35" i="53"/>
  <c r="I37" i="63"/>
  <c r="I55" i="66"/>
  <c r="H24" i="53"/>
  <c r="M46" i="32"/>
  <c r="H5" i="90"/>
  <c r="O85" i="63"/>
  <c r="J57" i="60"/>
  <c r="J55" i="51"/>
  <c r="N42" i="40"/>
  <c r="G67" i="58"/>
  <c r="L57" i="33"/>
  <c r="H6" i="77"/>
  <c r="L67" i="19"/>
  <c r="G61" i="66"/>
  <c r="L41" i="26"/>
  <c r="N85" i="71"/>
  <c r="M88" i="90"/>
  <c r="M107" i="59"/>
  <c r="L101" i="84"/>
  <c r="F95" i="34"/>
  <c r="D106" i="86"/>
  <c r="G106" i="52"/>
  <c r="I33" i="53"/>
  <c r="K55" i="65"/>
  <c r="G80" i="90"/>
  <c r="J8" i="78"/>
  <c r="N52" i="60"/>
  <c r="G92" i="67"/>
  <c r="D35" i="27"/>
  <c r="G70" i="34"/>
  <c r="I85" i="57"/>
  <c r="I16" i="29"/>
  <c r="D45" i="91"/>
  <c r="F45" i="46"/>
  <c r="M47" i="75"/>
  <c r="H89" i="64"/>
  <c r="H52" i="39"/>
  <c r="O7" i="59"/>
  <c r="O20" i="67"/>
  <c r="E38" i="41"/>
  <c r="L30" i="58"/>
  <c r="J91" i="39"/>
  <c r="F17" i="65"/>
  <c r="O4" i="41"/>
  <c r="N28" i="27"/>
  <c r="D5" i="33"/>
  <c r="N12" i="63"/>
  <c r="J24" i="49"/>
  <c r="K34" i="93"/>
  <c r="K33" i="44"/>
  <c r="D38" i="38"/>
  <c r="O7" i="25"/>
  <c r="G48" i="82"/>
  <c r="D103" i="73"/>
  <c r="I36" i="91"/>
  <c r="O38" i="19"/>
  <c r="I7" i="62"/>
  <c r="G57"/>
  <c r="M58" i="30"/>
  <c r="F101" i="36"/>
  <c r="F74" i="59"/>
  <c r="H38" i="39"/>
  <c r="E22" i="63"/>
  <c r="G12" i="66"/>
  <c r="O89" i="69"/>
  <c r="N27" i="65"/>
  <c r="K49" i="51"/>
  <c r="J34" i="92"/>
  <c r="J17" i="70"/>
  <c r="I25" i="40"/>
  <c r="J89" i="38"/>
  <c r="E89" i="46"/>
  <c r="D85" i="58"/>
  <c r="N46" i="80"/>
  <c r="O14" i="84"/>
  <c r="N52" i="83"/>
  <c r="J26" i="33"/>
  <c r="G103" i="85"/>
  <c r="J85" i="57"/>
  <c r="L51" i="45"/>
  <c r="G55"/>
  <c r="G33" i="85"/>
  <c r="O67" i="65"/>
  <c r="O107" i="80"/>
  <c r="K76" i="19"/>
  <c r="M62" i="86"/>
  <c r="N10" i="66"/>
  <c r="L9" i="44"/>
  <c r="N35" i="78"/>
  <c r="F83" i="35"/>
  <c r="H13" i="82"/>
  <c r="J29" i="54"/>
  <c r="M25" i="75"/>
  <c r="H11"/>
  <c r="G62" i="79"/>
  <c r="K62" i="57"/>
  <c r="N52" i="70"/>
  <c r="L31" i="53"/>
  <c r="K11" i="36"/>
  <c r="J9" i="53"/>
  <c r="D6" i="19"/>
  <c r="M38" i="54"/>
  <c r="O101" i="43"/>
  <c r="M30" i="19"/>
  <c r="M40" i="27"/>
  <c r="E70" i="76"/>
  <c r="D35" i="78"/>
  <c r="D39" i="90"/>
  <c r="N48" i="94"/>
  <c r="E10" i="52"/>
  <c r="M29" i="73"/>
  <c r="O20" i="34"/>
  <c r="G100" i="91"/>
  <c r="G89" i="72"/>
  <c r="O17" i="27"/>
  <c r="J86" i="92"/>
  <c r="M25" i="33"/>
  <c r="L31" i="72"/>
  <c r="H39" i="93"/>
  <c r="M14" i="33"/>
  <c r="H19" i="44"/>
  <c r="E65" i="90"/>
  <c r="M86" i="39"/>
  <c r="D9" i="70"/>
  <c r="L101" i="54"/>
  <c r="F100" i="86"/>
  <c r="J64" i="72"/>
  <c r="H35" i="71"/>
  <c r="O46" i="39"/>
  <c r="H76" i="69"/>
  <c r="H61" i="70"/>
  <c r="E32" i="33"/>
  <c r="N4" i="64"/>
  <c r="K100" i="89"/>
  <c r="I36" i="32"/>
  <c r="M98" i="80"/>
  <c r="M38" i="64"/>
  <c r="M45" i="74"/>
  <c r="F36" i="89"/>
  <c r="D17" i="83"/>
  <c r="J86" i="59"/>
  <c r="J98" i="49"/>
  <c r="K42" i="61"/>
  <c r="O68" i="40"/>
  <c r="I49" i="60"/>
  <c r="I53" i="64"/>
  <c r="D4" i="29"/>
  <c r="M45" i="72"/>
  <c r="E5" i="52"/>
  <c r="H28" i="91"/>
  <c r="H76" i="77"/>
  <c r="D61" i="47"/>
  <c r="G77" i="45"/>
  <c r="H44" i="30"/>
  <c r="K29" i="46"/>
  <c r="I76" i="63"/>
  <c r="F8" i="44"/>
  <c r="E88" i="70"/>
  <c r="N107" i="41"/>
  <c r="D82" i="25"/>
  <c r="L82" i="44"/>
  <c r="N45" i="29"/>
  <c r="G56" i="34"/>
  <c r="F74" i="80"/>
  <c r="J58" i="49"/>
  <c r="I76" i="56"/>
  <c r="H71" i="54"/>
  <c r="M14" i="44"/>
  <c r="N13" i="57"/>
  <c r="J30" i="69"/>
  <c r="L91" i="55"/>
  <c r="G11" i="94"/>
  <c r="O26" i="34"/>
  <c r="O9" i="78"/>
  <c r="M5" i="45"/>
  <c r="E28" i="50"/>
  <c r="G46" i="71"/>
  <c r="I76" i="52"/>
  <c r="E35" i="66"/>
  <c r="F11" i="45"/>
  <c r="G23" i="83"/>
  <c r="J23" i="30"/>
  <c r="F42" i="61"/>
  <c r="L55" i="36"/>
  <c r="H49" i="45"/>
  <c r="F65" i="54"/>
  <c r="M30" i="61"/>
  <c r="L15" i="40"/>
  <c r="L67" i="87"/>
  <c r="I28" i="36"/>
  <c r="O24" i="91"/>
  <c r="N29" i="25"/>
  <c r="M24" i="74"/>
  <c r="D8" i="67"/>
  <c r="L83" i="73"/>
  <c r="E32" i="70"/>
  <c r="E17" i="84"/>
  <c r="J98" i="32"/>
  <c r="K94" i="66"/>
  <c r="G104" i="39"/>
  <c r="G8" i="57"/>
  <c r="F33" i="89"/>
  <c r="N86" i="41"/>
  <c r="O85" i="74"/>
  <c r="J92" i="58"/>
  <c r="N76" i="73"/>
  <c r="F22" i="44"/>
  <c r="L25" i="46"/>
  <c r="O32" i="19"/>
  <c r="H41" i="33"/>
  <c r="O80" i="77"/>
  <c r="M100" i="38"/>
  <c r="F31" i="68"/>
  <c r="H4" i="84"/>
  <c r="M38" i="39"/>
  <c r="O80" i="74"/>
  <c r="N61" i="41"/>
  <c r="F92" i="76"/>
  <c r="H98" i="71"/>
  <c r="G98" i="73"/>
  <c r="F18" i="52"/>
  <c r="O19" i="57"/>
  <c r="K48" i="39"/>
  <c r="D28" i="92"/>
  <c r="I39" i="78"/>
  <c r="L31" i="41"/>
  <c r="K52" i="36"/>
  <c r="D40" i="63"/>
  <c r="D80" i="89"/>
  <c r="D23" i="81"/>
  <c r="H57" i="41"/>
  <c r="N50" i="61"/>
  <c r="H32" i="83"/>
  <c r="M43" i="76"/>
  <c r="L21" i="27"/>
  <c r="K106" i="74"/>
  <c r="E14" i="77"/>
  <c r="J14" i="59"/>
  <c r="G57" i="72"/>
  <c r="O15" i="32"/>
  <c r="D30" i="65"/>
  <c r="J53" i="55"/>
  <c r="O9" i="67"/>
  <c r="N34" i="72"/>
  <c r="F49" i="80"/>
  <c r="F85" i="75"/>
  <c r="F16" i="89"/>
  <c r="G101" i="83"/>
  <c r="N83" i="26"/>
  <c r="J26" i="78"/>
  <c r="G8" i="73"/>
  <c r="E107" i="65"/>
  <c r="D103" i="35"/>
  <c r="O45" i="86"/>
  <c r="N91" i="72"/>
  <c r="O5" i="64"/>
  <c r="D43" i="54"/>
  <c r="F92" i="85"/>
  <c r="F33" i="44"/>
  <c r="F64" i="48"/>
  <c r="G33" i="77"/>
  <c r="N107" i="84"/>
  <c r="H74" i="32"/>
  <c r="I101" i="53"/>
  <c r="H47" i="49"/>
  <c r="H25" i="30"/>
  <c r="D43" i="40"/>
  <c r="E27" i="19"/>
  <c r="F35" i="38"/>
  <c r="I5" i="80"/>
  <c r="K86" i="34"/>
  <c r="I57" i="38"/>
  <c r="I46" i="69"/>
  <c r="I15" i="32"/>
  <c r="K100" i="34"/>
  <c r="O73" i="63"/>
  <c r="M80" i="80"/>
  <c r="G48" i="64"/>
  <c r="F4" i="57"/>
  <c r="D89" i="25"/>
  <c r="J17" i="77"/>
  <c r="G83" i="50"/>
  <c r="H30" i="32"/>
  <c r="M51" i="68"/>
  <c r="N35" i="73"/>
  <c r="I95" i="75"/>
  <c r="D26" i="76"/>
  <c r="M8" i="19"/>
  <c r="O83" i="75"/>
  <c r="I36" i="80"/>
  <c r="F28" i="62"/>
  <c r="H47" i="19"/>
  <c r="H46" i="57"/>
  <c r="N85" i="48"/>
  <c r="E42" i="66"/>
  <c r="E39" i="83"/>
  <c r="F9" i="71"/>
  <c r="H79" i="32"/>
  <c r="F56" i="26"/>
  <c r="N82" i="41"/>
  <c r="F31" i="30"/>
  <c r="H24" i="36"/>
  <c r="D94" i="87"/>
  <c r="J19" i="55"/>
  <c r="L100" i="36"/>
  <c r="G11" i="87"/>
  <c r="E48" i="48"/>
  <c r="J43" i="61"/>
  <c r="E31" i="79"/>
  <c r="I41" i="52"/>
  <c r="O107" i="51"/>
  <c r="I5" i="89"/>
  <c r="J67" i="84"/>
  <c r="H26" i="36"/>
  <c r="L20" i="19"/>
  <c r="K17" i="89"/>
  <c r="J107" i="46"/>
  <c r="H16" i="52"/>
  <c r="F49" i="61"/>
  <c r="L65" i="73"/>
  <c r="G14" i="60"/>
  <c r="N80" i="43"/>
  <c r="O45" i="44"/>
  <c r="G98" i="79"/>
  <c r="N79" i="77"/>
  <c r="I39" i="61"/>
  <c r="J58" i="25"/>
  <c r="I49" i="61"/>
  <c r="E85" i="27"/>
  <c r="G106" i="75"/>
  <c r="I49" i="53"/>
  <c r="H98" i="47"/>
  <c r="H29" i="40"/>
  <c r="N18" i="59"/>
  <c r="F24" i="77"/>
  <c r="K28" i="51"/>
  <c r="L18" i="46"/>
  <c r="G61" i="92"/>
  <c r="N11" i="39"/>
  <c r="E89" i="86"/>
  <c r="O8" i="77"/>
  <c r="D62" i="65"/>
  <c r="F15" i="74"/>
  <c r="I79" i="93"/>
  <c r="K51" i="32"/>
  <c r="E82" i="80"/>
  <c r="I5" i="48"/>
  <c r="D57" i="66"/>
  <c r="E29" i="58"/>
  <c r="G59" i="89"/>
  <c r="L88"/>
  <c r="M23" i="54"/>
  <c r="I37" i="66"/>
  <c r="E23" i="41"/>
  <c r="L62" i="65"/>
  <c r="I59" i="68"/>
  <c r="F27" i="49"/>
  <c r="M19" i="34"/>
  <c r="D106" i="33"/>
  <c r="G67" i="62"/>
  <c r="J22" i="55"/>
  <c r="E26" i="78"/>
  <c r="F34" i="82"/>
  <c r="G15" i="29"/>
  <c r="D104" i="52"/>
  <c r="H82" i="57"/>
  <c r="O34" i="46"/>
  <c r="K67" i="67"/>
  <c r="E73" i="70"/>
  <c r="E50" i="66"/>
  <c r="J80" i="82"/>
  <c r="N57" i="89"/>
  <c r="I55" i="41"/>
  <c r="M51" i="89"/>
  <c r="G47" i="55"/>
  <c r="H10" i="46"/>
  <c r="J82" i="32"/>
  <c r="E46" i="90"/>
  <c r="I58" i="59"/>
  <c r="E88" i="58"/>
  <c r="F55" i="83"/>
  <c r="G40" i="46"/>
  <c r="D89" i="67"/>
  <c r="L10" i="43"/>
  <c r="H54" i="76"/>
  <c r="G40" i="56"/>
  <c r="H74" i="45"/>
  <c r="F35" i="50"/>
  <c r="K92" i="84"/>
  <c r="H36" i="63"/>
  <c r="N79" i="81"/>
  <c r="I80" i="32"/>
  <c r="K32" i="67"/>
  <c r="J86" i="26"/>
  <c r="O34" i="19"/>
  <c r="L82" i="75"/>
  <c r="N6" i="72"/>
  <c r="H95" i="36"/>
  <c r="J56" i="44"/>
  <c r="J30" i="77"/>
  <c r="F9" i="48"/>
  <c r="H11" i="25"/>
  <c r="N20" i="65"/>
  <c r="F32" i="54"/>
  <c r="J40" i="75"/>
  <c r="G22" i="47"/>
  <c r="L79" i="73"/>
  <c r="O24" i="57"/>
  <c r="G106" i="69"/>
  <c r="G106" i="78"/>
  <c r="K48" i="29"/>
  <c r="K46" i="72"/>
  <c r="G13" i="75"/>
  <c r="D20" i="29"/>
  <c r="E36" i="77"/>
  <c r="E98" i="49"/>
  <c r="E62" i="36"/>
  <c r="M86" i="92"/>
  <c r="K42" i="82"/>
  <c r="F8" i="62"/>
  <c r="G100" i="73"/>
  <c r="D91" i="57"/>
  <c r="J43" i="71"/>
  <c r="D27" i="57"/>
  <c r="I22" i="58"/>
  <c r="D29" i="69"/>
  <c r="I21" i="35"/>
  <c r="K85" i="82"/>
  <c r="O65" i="55"/>
  <c r="I16" i="32"/>
  <c r="J38" i="50"/>
  <c r="H79" i="53"/>
  <c r="E89" i="93"/>
  <c r="F58" i="49"/>
  <c r="L29" i="59"/>
  <c r="L86" i="87"/>
  <c r="O11" i="27"/>
  <c r="I30" i="51"/>
  <c r="D40" i="38"/>
  <c r="K4"/>
  <c r="G53" i="72"/>
  <c r="M47" i="87"/>
  <c r="I86" i="91"/>
  <c r="G17" i="19"/>
  <c r="O23" i="59"/>
  <c r="O9" i="33"/>
  <c r="N48" i="74"/>
  <c r="H42" i="67"/>
  <c r="N95" i="44"/>
  <c r="N10" i="27"/>
  <c r="M80" i="72"/>
  <c r="H26" i="27"/>
  <c r="K5" i="44"/>
  <c r="I11" i="62"/>
  <c r="O20" i="40"/>
  <c r="I23" i="85"/>
  <c r="N18" i="83"/>
  <c r="G82" i="72"/>
  <c r="G80" i="48"/>
  <c r="N98" i="32"/>
  <c r="M88"/>
  <c r="O39" i="48"/>
  <c r="N70" i="82"/>
  <c r="N56" i="71"/>
  <c r="D80" i="67"/>
  <c r="K16" i="94"/>
  <c r="M9" i="86"/>
  <c r="K43" i="57"/>
  <c r="K44" i="91"/>
  <c r="M85" i="92"/>
  <c r="K52"/>
  <c r="K65" i="59"/>
  <c r="M97" i="73"/>
  <c r="N49"/>
  <c r="O4" i="60"/>
  <c r="I53" i="19"/>
  <c r="K30" i="75"/>
  <c r="M37" i="46"/>
  <c r="E49" i="62"/>
  <c r="J30" i="64"/>
  <c r="E95" i="76"/>
  <c r="N83" i="53"/>
  <c r="H95" i="62"/>
  <c r="E12" i="71"/>
  <c r="H34" i="34"/>
  <c r="I22" i="41"/>
  <c r="F55" i="66"/>
  <c r="I43" i="78"/>
  <c r="G62" i="82"/>
  <c r="G67" i="52"/>
  <c r="M107" i="26"/>
  <c r="N67" i="32"/>
  <c r="H15" i="35"/>
  <c r="L41" i="33"/>
  <c r="G33" i="66"/>
  <c r="M4" i="49"/>
  <c r="I52" i="87"/>
  <c r="K57" i="58"/>
  <c r="O77" i="93"/>
  <c r="I82" i="84"/>
  <c r="E53" i="74"/>
  <c r="O12" i="26"/>
  <c r="D92" i="39"/>
  <c r="L23" i="90"/>
  <c r="N95" i="40"/>
  <c r="I83" i="44"/>
  <c r="L39" i="61"/>
  <c r="K95" i="63"/>
  <c r="E48" i="64"/>
  <c r="H45" i="67"/>
  <c r="M57" i="53"/>
  <c r="L44" i="40"/>
  <c r="E31" i="41"/>
  <c r="K67" i="94"/>
  <c r="E49" i="47"/>
  <c r="L65" i="65"/>
  <c r="J9" i="94"/>
  <c r="G73" i="46"/>
  <c r="I85" i="38"/>
  <c r="E95" i="61"/>
  <c r="E34" i="55"/>
  <c r="D43" i="72"/>
  <c r="L88" i="34"/>
  <c r="O91" i="47"/>
  <c r="N27" i="33"/>
  <c r="J106" i="67"/>
  <c r="M19" i="49"/>
  <c r="L42" i="83"/>
  <c r="F34" i="38"/>
  <c r="D29" i="81"/>
  <c r="L74" i="67"/>
  <c r="G25" i="45"/>
  <c r="M86" i="27"/>
  <c r="G58" i="46"/>
  <c r="F12" i="30"/>
  <c r="H15" i="66"/>
  <c r="H64" i="69"/>
  <c r="J68" i="58"/>
  <c r="K27" i="68"/>
  <c r="J16" i="43"/>
  <c r="D12" i="75"/>
  <c r="H16" i="67"/>
  <c r="G39" i="33"/>
  <c r="E34" i="62"/>
  <c r="F28" i="46"/>
  <c r="D67" i="84"/>
  <c r="N54" i="58"/>
  <c r="O55" i="65"/>
  <c r="D38" i="63"/>
  <c r="J11" i="91"/>
  <c r="J104" i="65"/>
  <c r="F85" i="71"/>
  <c r="L30" i="89"/>
  <c r="D34" i="87"/>
  <c r="O15" i="56"/>
  <c r="M46" i="78"/>
  <c r="F44" i="61"/>
  <c r="E39" i="64"/>
  <c r="H57" i="25"/>
  <c r="D97" i="75"/>
  <c r="G70"/>
  <c r="K100" i="74"/>
  <c r="L46" i="67"/>
  <c r="M31" i="71"/>
  <c r="G73" i="60"/>
  <c r="E68" i="92"/>
  <c r="L36"/>
  <c r="O68" i="67"/>
  <c r="H54" i="45"/>
  <c r="L107" i="87"/>
  <c r="G41" i="67"/>
  <c r="O12" i="82"/>
  <c r="G13" i="56"/>
  <c r="F89" i="55"/>
  <c r="N9" i="43"/>
  <c r="L91" i="59"/>
  <c r="M12" i="55"/>
  <c r="I17" i="38"/>
  <c r="H31" i="43"/>
  <c r="I52" i="59"/>
  <c r="M58" i="89"/>
  <c r="H39" i="76"/>
  <c r="H59" i="65"/>
  <c r="J15" i="34"/>
  <c r="K36" i="63"/>
  <c r="H46" i="61"/>
  <c r="H103" i="81"/>
  <c r="J25" i="80"/>
  <c r="G15" i="86"/>
  <c r="F91" i="49"/>
  <c r="F106" i="84"/>
  <c r="M5" i="66"/>
  <c r="M28" i="80"/>
  <c r="N20" i="54"/>
  <c r="I50" i="58"/>
  <c r="M29" i="56"/>
  <c r="K47" i="69"/>
  <c r="I20" i="39"/>
  <c r="O45" i="82"/>
  <c r="N57" i="32"/>
  <c r="O31" i="70"/>
  <c r="G51" i="33"/>
  <c r="G46"/>
  <c r="M50" i="46"/>
  <c r="I19" i="68"/>
  <c r="L89" i="87"/>
  <c r="N39" i="44"/>
  <c r="H65" i="71"/>
  <c r="I88" i="57"/>
  <c r="G74" i="26"/>
  <c r="M13" i="75"/>
  <c r="D10" i="56"/>
  <c r="J67" i="40"/>
  <c r="N51" i="59"/>
  <c r="E24" i="80"/>
  <c r="G10" i="60"/>
  <c r="G44" i="85"/>
  <c r="D4" i="55"/>
  <c r="I62" i="33"/>
  <c r="N34" i="91"/>
  <c r="L28" i="19"/>
  <c r="N25" i="84"/>
  <c r="J85" i="83"/>
  <c r="G79" i="45"/>
  <c r="D22" i="38"/>
  <c r="H68" i="93"/>
  <c r="N44" i="69"/>
  <c r="G50" i="77"/>
  <c r="K26" i="80"/>
  <c r="F26" i="90"/>
  <c r="J56" i="60"/>
  <c r="J34" i="75"/>
  <c r="G103"/>
  <c r="O16" i="61"/>
  <c r="D42" i="30"/>
  <c r="H100" i="75"/>
  <c r="F12" i="65"/>
  <c r="G98" i="60"/>
  <c r="K45" i="80"/>
  <c r="H47" i="65"/>
  <c r="D29" i="52"/>
  <c r="G103" i="69"/>
  <c r="E41" i="33"/>
  <c r="O100" i="35"/>
  <c r="I33"/>
  <c r="J18" i="86"/>
  <c r="L106" i="70"/>
  <c r="O12" i="29"/>
  <c r="F24" i="75"/>
  <c r="J35" i="91"/>
  <c r="N12" i="73"/>
  <c r="N36" i="74"/>
  <c r="N77" i="78"/>
  <c r="L47" i="54"/>
  <c r="H44" i="85"/>
  <c r="O71" i="39"/>
  <c r="G71" i="63"/>
  <c r="O55" i="54"/>
  <c r="D65" i="47"/>
  <c r="D70" i="92"/>
  <c r="M91" i="77"/>
  <c r="D5" i="43"/>
  <c r="J68" i="51"/>
  <c r="O41" i="84"/>
  <c r="O62" i="33"/>
  <c r="K20" i="43"/>
  <c r="I101" i="81"/>
  <c r="L15" i="87"/>
  <c r="M55" i="38"/>
  <c r="J74" i="50"/>
  <c r="E82" i="71"/>
  <c r="E76" i="65"/>
  <c r="G28" i="62"/>
  <c r="I36" i="75"/>
  <c r="F5" i="39"/>
  <c r="M10" i="74"/>
  <c r="M17" i="76"/>
  <c r="L71" i="78"/>
  <c r="K54" i="48"/>
  <c r="O71" i="73"/>
  <c r="L27" i="55"/>
  <c r="F6" i="77"/>
  <c r="O107" i="48"/>
  <c r="L86" i="80"/>
  <c r="J43" i="92"/>
  <c r="H26" i="63"/>
  <c r="E33" i="92"/>
  <c r="E35" i="25"/>
  <c r="N82" i="64"/>
  <c r="F34" i="86"/>
  <c r="N45" i="73"/>
  <c r="G6" i="72"/>
  <c r="E15" i="19"/>
  <c r="O5" i="39"/>
  <c r="I39" i="32"/>
  <c r="G98" i="56"/>
  <c r="E44" i="58"/>
  <c r="D13" i="41"/>
  <c r="G43" i="73"/>
  <c r="H16" i="44"/>
  <c r="M43" i="36"/>
  <c r="H22" i="78"/>
  <c r="I36" i="39"/>
  <c r="O39" i="77"/>
  <c r="G27" i="93"/>
  <c r="O88" i="78"/>
  <c r="H98" i="81"/>
  <c r="J28" i="64"/>
  <c r="F22" i="19"/>
  <c r="G54" i="77"/>
  <c r="F10" i="25"/>
  <c r="K68" i="60"/>
  <c r="N19" i="73"/>
  <c r="H42" i="42"/>
  <c r="O92" i="38"/>
  <c r="O37" i="65"/>
  <c r="J73" i="39"/>
  <c r="G41" i="41"/>
  <c r="E24" i="50"/>
  <c r="D26" i="34"/>
  <c r="F74" i="49"/>
  <c r="O28" i="25"/>
  <c r="E52" i="78"/>
  <c r="N74" i="67"/>
  <c r="L14" i="59"/>
  <c r="I62" i="36"/>
  <c r="L25" i="40"/>
  <c r="H19"/>
  <c r="F67" i="61"/>
  <c r="N64" i="33"/>
  <c r="H54" i="58"/>
  <c r="N43" i="26"/>
  <c r="G34" i="40"/>
  <c r="G21" i="56"/>
  <c r="G100" i="40"/>
  <c r="N59" i="77"/>
  <c r="I44" i="51"/>
  <c r="L55" i="38"/>
  <c r="I82" i="82"/>
  <c r="J11" i="72"/>
  <c r="F107" i="89"/>
  <c r="O49" i="25"/>
  <c r="K25" i="92"/>
  <c r="H103" i="25"/>
  <c r="J97" i="45"/>
  <c r="J37" i="39"/>
  <c r="G31" i="86"/>
  <c r="F35" i="55"/>
  <c r="O103" i="78"/>
  <c r="J54" i="92"/>
  <c r="M79" i="65"/>
  <c r="K89" i="32"/>
  <c r="M26" i="33"/>
  <c r="L71" i="54"/>
  <c r="M40" i="86"/>
  <c r="J33" i="55"/>
  <c r="G5" i="82"/>
  <c r="D47" i="30"/>
  <c r="I26" i="53"/>
  <c r="N38" i="64"/>
  <c r="N92" i="90"/>
  <c r="M16" i="93"/>
  <c r="O53" i="73"/>
  <c r="J107" i="40"/>
  <c r="O98" i="56"/>
  <c r="O80" i="33"/>
  <c r="D30" i="82"/>
  <c r="D73" i="75"/>
  <c r="E56" i="73"/>
  <c r="N19" i="44"/>
  <c r="I48" i="52"/>
  <c r="N94" i="87"/>
  <c r="J97" i="48"/>
  <c r="L9" i="84"/>
  <c r="F29" i="51"/>
  <c r="G34" i="75"/>
  <c r="O103" i="80"/>
  <c r="O6" i="27"/>
  <c r="E98" i="34"/>
  <c r="I103" i="25"/>
  <c r="I68" i="39"/>
  <c r="L76" i="29"/>
  <c r="O107" i="47"/>
  <c r="F107" i="68"/>
  <c r="F12" i="60"/>
  <c r="K51" i="87"/>
  <c r="H22" i="33"/>
  <c r="D35" i="74"/>
  <c r="E19" i="71"/>
  <c r="N12" i="92"/>
  <c r="L6" i="49"/>
  <c r="G65" i="63"/>
  <c r="O24" i="34"/>
  <c r="D91" i="25"/>
  <c r="G106" i="61"/>
  <c r="N54" i="46"/>
  <c r="K14" i="57"/>
  <c r="F61" i="76"/>
  <c r="I61" i="87"/>
  <c r="E74" i="35"/>
  <c r="M27" i="27"/>
  <c r="E80" i="76"/>
  <c r="L92"/>
  <c r="M30" i="74"/>
  <c r="F36" i="26"/>
  <c r="N44" i="81"/>
  <c r="I4" i="53"/>
  <c r="F58" i="89"/>
  <c r="D30" i="29"/>
  <c r="N97"/>
  <c r="I42" i="43"/>
  <c r="J10" i="30"/>
  <c r="D92" i="29"/>
  <c r="E48" i="63"/>
  <c r="H36" i="50"/>
  <c r="E28" i="63"/>
  <c r="L59" i="66"/>
  <c r="D56" i="94"/>
  <c r="L95" i="65"/>
  <c r="O43" i="64"/>
  <c r="N106" i="48"/>
  <c r="K13" i="64"/>
  <c r="O22" i="61"/>
  <c r="L19" i="75"/>
  <c r="H25" i="41"/>
  <c r="H15" i="30"/>
  <c r="K47" i="19"/>
  <c r="K23" i="65"/>
  <c r="L8" i="87"/>
  <c r="L70" i="80"/>
  <c r="E82" i="33"/>
  <c r="M59" i="62"/>
  <c r="I33" i="73"/>
  <c r="O32" i="26"/>
  <c r="J24" i="27"/>
  <c r="I27" i="40"/>
  <c r="K15" i="57"/>
  <c r="G73" i="29"/>
  <c r="O100" i="58"/>
  <c r="I34" i="76"/>
  <c r="G77" i="72"/>
  <c r="N20" i="36"/>
  <c r="I70" i="59"/>
  <c r="O76" i="92"/>
  <c r="I11" i="60"/>
  <c r="O88" i="49"/>
  <c r="G40" i="87"/>
  <c r="E64" i="91"/>
  <c r="D28" i="66"/>
  <c r="E19" i="26"/>
  <c r="E54" i="53"/>
  <c r="E41" i="79"/>
  <c r="G34" i="77"/>
  <c r="D92" i="48"/>
  <c r="D27" i="49"/>
  <c r="I26" i="65"/>
  <c r="N49" i="26"/>
  <c r="M31" i="82"/>
  <c r="G34" i="35"/>
  <c r="G92" i="94"/>
  <c r="G13" i="93"/>
  <c r="I58" i="78"/>
  <c r="O26" i="47"/>
  <c r="O62" i="68"/>
  <c r="M28" i="58"/>
  <c r="K6" i="40"/>
  <c r="O94" i="35"/>
  <c r="M51" i="51"/>
  <c r="J28" i="58"/>
  <c r="J52" i="92"/>
  <c r="F47" i="56"/>
  <c r="O4" i="32"/>
  <c r="L74" i="78"/>
  <c r="F12" i="81"/>
  <c r="J77" i="19"/>
  <c r="E86" i="41"/>
  <c r="O59" i="78"/>
  <c r="K22" i="75"/>
  <c r="E44" i="91"/>
  <c r="E97" i="59"/>
  <c r="M59" i="84"/>
  <c r="O83" i="67"/>
  <c r="K11" i="64"/>
  <c r="N65" i="86"/>
  <c r="J19" i="79"/>
  <c r="G52" i="39"/>
  <c r="L8" i="25"/>
  <c r="H103" i="91"/>
  <c r="I67" i="53"/>
  <c r="I82" i="33"/>
  <c r="E83" i="94"/>
  <c r="N77" i="29"/>
  <c r="M76" i="47"/>
  <c r="N64" i="40"/>
  <c r="N15" i="62"/>
  <c r="E19" i="68"/>
  <c r="M59" i="73"/>
  <c r="I36" i="50"/>
  <c r="E59" i="33"/>
  <c r="M38" i="58"/>
  <c r="H46" i="56"/>
  <c r="E70" i="74"/>
  <c r="L86" i="40"/>
  <c r="I83" i="55"/>
  <c r="I48" i="68"/>
  <c r="K82" i="59"/>
  <c r="K58" i="81"/>
  <c r="J35" i="58"/>
  <c r="J62" i="38"/>
  <c r="N64" i="57"/>
  <c r="F59" i="41"/>
  <c r="I67" i="69"/>
  <c r="O36" i="40"/>
  <c r="N42" i="68"/>
  <c r="H7" i="48"/>
  <c r="H23" i="33"/>
  <c r="J61" i="57"/>
  <c r="J39" i="40"/>
  <c r="O8" i="29"/>
  <c r="D92" i="70"/>
  <c r="K35" i="36"/>
  <c r="F79" i="43"/>
  <c r="I52" i="52"/>
  <c r="F11" i="73"/>
  <c r="I10" i="79"/>
  <c r="G62" i="58"/>
  <c r="I7" i="54"/>
  <c r="O42" i="80"/>
  <c r="M18" i="58"/>
  <c r="I76" i="82"/>
  <c r="H37" i="86"/>
  <c r="J74" i="25"/>
  <c r="D85" i="66"/>
  <c r="D82" i="89"/>
  <c r="I16" i="68"/>
  <c r="M50" i="41"/>
  <c r="J34" i="27"/>
  <c r="J41" i="38"/>
  <c r="M33" i="59"/>
  <c r="E92" i="62"/>
  <c r="I12" i="63"/>
  <c r="N92" i="89"/>
  <c r="I32" i="65"/>
  <c r="H9" i="92"/>
  <c r="L26" i="19"/>
  <c r="F8" i="91"/>
  <c r="G21" i="59"/>
  <c r="H20" i="66"/>
  <c r="D26" i="90"/>
  <c r="M22" i="55"/>
  <c r="J77" i="27"/>
  <c r="I61" i="89"/>
  <c r="D4" i="64"/>
  <c r="F17" i="26"/>
  <c r="I8" i="62"/>
  <c r="J56" i="38"/>
  <c r="N57" i="68"/>
  <c r="G54" i="64"/>
  <c r="L33" i="51"/>
  <c r="J9" i="30"/>
  <c r="O45" i="43"/>
  <c r="O28" i="54"/>
  <c r="M88" i="75"/>
  <c r="H77" i="32"/>
  <c r="E25" i="82"/>
  <c r="O6" i="48"/>
  <c r="L97" i="41"/>
  <c r="D83" i="30"/>
  <c r="O20" i="45"/>
  <c r="L98" i="75"/>
  <c r="D37" i="70"/>
  <c r="F20" i="73"/>
  <c r="I42" i="71"/>
  <c r="I83" i="35"/>
  <c r="H101" i="56"/>
  <c r="E10" i="43"/>
  <c r="K62" i="82"/>
  <c r="M7" i="67"/>
  <c r="K44" i="46"/>
  <c r="N36" i="94"/>
  <c r="G38" i="45"/>
  <c r="I103" i="40"/>
  <c r="J92" i="63"/>
  <c r="F86" i="80"/>
  <c r="G27" i="62"/>
  <c r="F79" i="45"/>
  <c r="K36" i="48"/>
  <c r="O57" i="27"/>
  <c r="K76" i="93"/>
  <c r="D18" i="84"/>
  <c r="H98" i="32"/>
  <c r="F97" i="69"/>
  <c r="L15" i="33"/>
  <c r="H18" i="75"/>
  <c r="K12" i="92"/>
  <c r="L76" i="32"/>
  <c r="J73" i="27"/>
  <c r="M103" i="51"/>
  <c r="E80" i="54"/>
  <c r="M27" i="46"/>
  <c r="G25" i="67"/>
  <c r="M8" i="27"/>
  <c r="D80" i="85"/>
  <c r="L50" i="75"/>
  <c r="M59" i="35"/>
  <c r="H51" i="55"/>
  <c r="K22" i="91"/>
  <c r="E5" i="51"/>
  <c r="F12" i="34"/>
  <c r="F89" i="59"/>
  <c r="H85" i="64"/>
  <c r="K106" i="68"/>
  <c r="D79" i="30"/>
  <c r="H61" i="75"/>
  <c r="G89" i="74"/>
  <c r="J39" i="91"/>
  <c r="D27" i="92"/>
  <c r="M4" i="59"/>
  <c r="G5" i="34"/>
  <c r="L92" i="77"/>
  <c r="K67" i="55"/>
  <c r="E8" i="58"/>
  <c r="F44" i="67"/>
  <c r="H57" i="82"/>
  <c r="H22" i="46"/>
  <c r="O43" i="34"/>
  <c r="K29" i="43"/>
  <c r="L30" i="25"/>
  <c r="F65" i="93"/>
  <c r="G88" i="94"/>
  <c r="L85" i="30"/>
  <c r="H88" i="73"/>
  <c r="E14" i="64"/>
  <c r="G39" i="84"/>
  <c r="I62" i="40"/>
  <c r="H28" i="38"/>
  <c r="G55" i="59"/>
  <c r="O35" i="39"/>
  <c r="K38" i="90"/>
  <c r="F53" i="49"/>
  <c r="H30" i="78"/>
  <c r="J71" i="40"/>
  <c r="K39" i="46"/>
  <c r="L43" i="30"/>
  <c r="M91" i="57"/>
  <c r="D100" i="84"/>
  <c r="I104" i="72"/>
  <c r="H103" i="62"/>
  <c r="H58" i="49"/>
  <c r="N51" i="55"/>
  <c r="F38" i="47"/>
  <c r="K18" i="49"/>
  <c r="M7" i="81"/>
  <c r="N42" i="63"/>
  <c r="K22" i="64"/>
  <c r="N62" i="87"/>
  <c r="M77" i="19"/>
  <c r="G95" i="39"/>
  <c r="F45" i="41"/>
  <c r="K11" i="92"/>
  <c r="J74" i="65"/>
  <c r="G5" i="83"/>
  <c r="J51" i="74"/>
  <c r="M40" i="89"/>
  <c r="F95" i="68"/>
  <c r="E48" i="30"/>
  <c r="J42" i="60"/>
  <c r="K85" i="35"/>
  <c r="E35" i="57"/>
  <c r="I59" i="45"/>
  <c r="M89" i="69"/>
  <c r="L27" i="44"/>
  <c r="F4" i="77"/>
  <c r="E100" i="44"/>
  <c r="M35" i="41"/>
  <c r="H24" i="47"/>
  <c r="N56" i="61"/>
  <c r="D45" i="36"/>
  <c r="N83" i="43"/>
  <c r="D16" i="61"/>
  <c r="H39" i="78"/>
  <c r="K19" i="54"/>
  <c r="G22" i="72"/>
  <c r="J76" i="54"/>
  <c r="E56" i="86"/>
  <c r="G70" i="65"/>
  <c r="G23" i="47"/>
  <c r="D88" i="76"/>
  <c r="N55" i="48"/>
  <c r="N80" i="44"/>
  <c r="H20" i="39"/>
  <c r="I57" i="89"/>
  <c r="M17" i="34"/>
  <c r="K7" i="94"/>
  <c r="J53" i="80"/>
  <c r="E9" i="79"/>
  <c r="M45" i="46"/>
  <c r="G41" i="25"/>
  <c r="J52" i="58"/>
  <c r="D32" i="74"/>
  <c r="F43" i="68"/>
  <c r="D65" i="91"/>
  <c r="N82" i="70"/>
  <c r="E40" i="40"/>
  <c r="E104" i="82"/>
  <c r="J53" i="66"/>
  <c r="E80" i="63"/>
  <c r="G22" i="62"/>
  <c r="O49" i="26"/>
  <c r="O14" i="53"/>
  <c r="K8" i="60"/>
  <c r="L82" i="32"/>
  <c r="F25" i="60"/>
  <c r="D45" i="69"/>
  <c r="J67" i="90"/>
  <c r="O67" i="84"/>
  <c r="J27" i="29"/>
  <c r="N25" i="62"/>
  <c r="F49" i="90"/>
  <c r="I41" i="91"/>
  <c r="L89" i="54"/>
  <c r="N67" i="74"/>
  <c r="E88" i="77"/>
  <c r="N31" i="34"/>
  <c r="O43" i="67"/>
  <c r="N4" i="60"/>
  <c r="H28" i="45"/>
  <c r="D70" i="54"/>
  <c r="F38" i="55"/>
  <c r="K38" i="19"/>
  <c r="M10" i="81"/>
  <c r="L76" i="54"/>
  <c r="J97" i="57"/>
  <c r="H91" i="35"/>
  <c r="H92" i="44"/>
  <c r="I73" i="69"/>
  <c r="K39" i="62"/>
  <c r="I97" i="83"/>
  <c r="K27" i="29"/>
  <c r="F4" i="56"/>
  <c r="O26" i="55"/>
  <c r="O26" i="72"/>
  <c r="H39" i="91"/>
  <c r="N38" i="41"/>
  <c r="H52" i="27"/>
  <c r="G53" i="80"/>
  <c r="M41" i="76"/>
  <c r="D30" i="38"/>
  <c r="N10" i="67"/>
  <c r="K18" i="92"/>
  <c r="J39" i="80"/>
  <c r="D70" i="34"/>
  <c r="L43" i="27"/>
  <c r="M49" i="86"/>
  <c r="K107" i="81"/>
  <c r="M8" i="51"/>
  <c r="G103" i="38"/>
  <c r="L45" i="40"/>
  <c r="O27" i="59"/>
  <c r="D55"/>
  <c r="J6" i="35"/>
  <c r="H47" i="66"/>
  <c r="O51" i="68"/>
  <c r="E27" i="34"/>
  <c r="K29" i="94"/>
  <c r="J95" i="57"/>
  <c r="D64" i="36"/>
  <c r="J103" i="53"/>
  <c r="F38" i="54"/>
  <c r="D70" i="64"/>
  <c r="D50" i="63"/>
  <c r="J101" i="74"/>
  <c r="H5" i="69"/>
  <c r="L50" i="46"/>
  <c r="J44" i="36"/>
  <c r="I61" i="26"/>
  <c r="N62" i="59"/>
  <c r="H38" i="91"/>
  <c r="I35" i="56"/>
  <c r="G82" i="50"/>
  <c r="D74" i="89"/>
  <c r="M97" i="48"/>
  <c r="K37"/>
  <c r="E5" i="33"/>
  <c r="D31" i="45"/>
  <c r="K14" i="38"/>
  <c r="O8" i="32"/>
  <c r="L74" i="40"/>
  <c r="L33" i="70"/>
  <c r="F9" i="38"/>
  <c r="N94" i="59"/>
  <c r="L10" i="83"/>
  <c r="K100" i="45"/>
  <c r="J57" i="49"/>
  <c r="G73" i="70"/>
  <c r="K26" i="53"/>
  <c r="N26" i="27"/>
  <c r="I74" i="40"/>
  <c r="G39" i="52"/>
  <c r="H33" i="32"/>
  <c r="I98" i="25"/>
  <c r="M4" i="44"/>
  <c r="J64" i="46"/>
  <c r="F29" i="56"/>
  <c r="G88" i="92"/>
  <c r="L26" i="60"/>
  <c r="M37" i="34"/>
  <c r="I41" i="19"/>
  <c r="H83" i="85"/>
  <c r="N94" i="29"/>
  <c r="O29" i="53"/>
  <c r="D15" i="93"/>
  <c r="D4" i="77"/>
  <c r="K101" i="93"/>
  <c r="L88" i="51"/>
  <c r="D4" i="40"/>
  <c r="D26" i="63"/>
  <c r="I18" i="42"/>
  <c r="L23" i="82"/>
  <c r="N89" i="60"/>
  <c r="E73" i="67"/>
  <c r="D42" i="41"/>
  <c r="N79" i="64"/>
  <c r="H58" i="46"/>
  <c r="N52" i="84"/>
  <c r="O107" i="57"/>
  <c r="K7" i="19"/>
  <c r="I64" i="43"/>
  <c r="I41" i="49"/>
  <c r="O16" i="93"/>
  <c r="J56" i="36"/>
  <c r="G38" i="76"/>
  <c r="E40" i="56"/>
  <c r="F8" i="54"/>
  <c r="O62" i="80"/>
  <c r="K77" i="92"/>
  <c r="M17" i="80"/>
  <c r="F103" i="55"/>
  <c r="M103" i="75"/>
  <c r="G44" i="57"/>
  <c r="K77" i="58"/>
  <c r="L54" i="56"/>
  <c r="F11" i="61"/>
  <c r="L15" i="78"/>
  <c r="O61" i="83"/>
  <c r="E37" i="74"/>
  <c r="N89" i="66"/>
  <c r="I17" i="27"/>
  <c r="D58" i="35"/>
  <c r="M85" i="39"/>
  <c r="N25" i="33"/>
  <c r="O14" i="75"/>
  <c r="L54" i="91"/>
  <c r="L95" i="70"/>
  <c r="M10" i="19"/>
  <c r="K68" i="84"/>
  <c r="H34" i="61"/>
  <c r="M97" i="39"/>
  <c r="J10" i="51"/>
  <c r="M7" i="59"/>
  <c r="D57" i="91"/>
  <c r="E95" i="77"/>
  <c r="D106" i="71"/>
  <c r="O61" i="73"/>
  <c r="H23" i="93"/>
  <c r="I82" i="34"/>
  <c r="F10" i="54"/>
  <c r="E40" i="35"/>
  <c r="G24" i="87"/>
  <c r="F74" i="70"/>
  <c r="I107" i="30"/>
  <c r="G57" i="47"/>
  <c r="N80" i="56"/>
  <c r="M83" i="44"/>
  <c r="M65" i="82"/>
  <c r="L15" i="84"/>
  <c r="H16" i="82"/>
  <c r="D56" i="36"/>
  <c r="G77"/>
  <c r="K83" i="46"/>
  <c r="L97" i="90"/>
  <c r="K56" i="67"/>
  <c r="N30" i="65"/>
  <c r="M85" i="76"/>
  <c r="H4" i="50"/>
  <c r="J92" i="91"/>
  <c r="N54" i="81"/>
  <c r="E94" i="70"/>
  <c r="G25" i="73"/>
  <c r="F27" i="63"/>
  <c r="J64" i="39"/>
  <c r="D4" i="92"/>
  <c r="E20" i="70"/>
  <c r="F79" i="49"/>
  <c r="E98" i="74"/>
  <c r="H19" i="73"/>
  <c r="F33" i="91"/>
  <c r="I65" i="53"/>
  <c r="D86" i="78"/>
  <c r="E89" i="84"/>
  <c r="K35" i="41"/>
  <c r="O53" i="62"/>
  <c r="J26" i="65"/>
  <c r="D103" i="43"/>
  <c r="N37" i="72"/>
  <c r="G52" i="81"/>
  <c r="L101" i="45"/>
  <c r="G80" i="89"/>
  <c r="O7" i="46"/>
  <c r="L45" i="91"/>
  <c r="M94" i="92"/>
  <c r="H20" i="89"/>
  <c r="G97" i="43"/>
  <c r="L106" i="90"/>
  <c r="I83" i="29"/>
  <c r="I53" i="38"/>
  <c r="H73" i="32"/>
  <c r="F67" i="35"/>
  <c r="J8" i="80"/>
  <c r="O6" i="94"/>
  <c r="K17" i="71"/>
  <c r="O79" i="38"/>
  <c r="L9" i="57"/>
  <c r="E53" i="90"/>
  <c r="N19" i="65"/>
  <c r="N9" i="38"/>
  <c r="D79" i="19"/>
  <c r="L13" i="69"/>
  <c r="L49" i="76"/>
  <c r="O83" i="60"/>
  <c r="H80" i="47"/>
  <c r="D53" i="43"/>
  <c r="H70" i="76"/>
  <c r="I22" i="94"/>
  <c r="L106" i="48"/>
  <c r="H27" i="35"/>
  <c r="M80" i="32"/>
  <c r="H98" i="73"/>
  <c r="G46" i="91"/>
  <c r="N7" i="69"/>
  <c r="J11" i="89"/>
  <c r="F22" i="42"/>
  <c r="J67" i="89"/>
  <c r="M54" i="62"/>
  <c r="M30" i="73"/>
  <c r="F106" i="55"/>
  <c r="L24" i="34"/>
  <c r="L41" i="59"/>
  <c r="K25" i="73"/>
  <c r="M40" i="58"/>
  <c r="M5" i="55"/>
  <c r="M106" i="82"/>
  <c r="L23" i="43"/>
  <c r="E62" i="29"/>
  <c r="D88" i="90"/>
  <c r="O40" i="38"/>
  <c r="D45" i="73"/>
  <c r="D44" i="68"/>
  <c r="H61"/>
  <c r="D58" i="85"/>
  <c r="O89" i="76"/>
  <c r="O71" i="62"/>
  <c r="E95" i="39"/>
  <c r="O40" i="83"/>
  <c r="N11" i="43"/>
  <c r="I57" i="59"/>
  <c r="F4" i="41"/>
  <c r="N88" i="45"/>
  <c r="I46" i="79"/>
  <c r="F49" i="76"/>
  <c r="H46" i="55"/>
  <c r="J55" i="19"/>
  <c r="N43" i="64"/>
  <c r="D62" i="53"/>
  <c r="H98" i="82"/>
  <c r="K88" i="92"/>
  <c r="I20" i="75"/>
  <c r="K53" i="60"/>
  <c r="L10" i="51"/>
  <c r="N30" i="30"/>
  <c r="O89" i="27"/>
  <c r="M48" i="61"/>
  <c r="E45" i="69"/>
  <c r="N54" i="63"/>
  <c r="J16" i="58"/>
  <c r="H14" i="40"/>
  <c r="N107" i="69"/>
  <c r="G54" i="57"/>
  <c r="H43" i="45"/>
  <c r="D52" i="68"/>
  <c r="I67" i="41"/>
  <c r="K74" i="19"/>
  <c r="J46" i="36"/>
  <c r="D104" i="32"/>
  <c r="G35"/>
  <c r="F74"/>
  <c r="J53" i="56"/>
  <c r="L65" i="47"/>
  <c r="J106" i="86"/>
  <c r="J31" i="81"/>
  <c r="K40" i="65"/>
  <c r="J41" i="41"/>
  <c r="D74" i="87"/>
  <c r="G95" i="83"/>
  <c r="J47" i="40"/>
  <c r="M10" i="53"/>
  <c r="M104" i="67"/>
  <c r="N17" i="39"/>
  <c r="H48" i="30"/>
  <c r="N49" i="65"/>
  <c r="F39" i="56"/>
  <c r="E16" i="78"/>
  <c r="O74" i="59"/>
  <c r="E91" i="48"/>
  <c r="O74" i="64"/>
  <c r="E86" i="58"/>
  <c r="O83" i="92"/>
  <c r="E104" i="81"/>
  <c r="O41" i="46"/>
  <c r="N25" i="76"/>
  <c r="E107" i="35"/>
  <c r="D15" i="36"/>
  <c r="F7" i="27"/>
  <c r="D20" i="69"/>
  <c r="K20" i="44"/>
  <c r="I92" i="39"/>
  <c r="G34" i="33"/>
  <c r="I18" i="65"/>
  <c r="N36" i="26"/>
  <c r="M64" i="82"/>
  <c r="J91" i="38"/>
  <c r="N4" i="81"/>
  <c r="I35" i="52"/>
  <c r="E50" i="33"/>
  <c r="L42" i="40"/>
  <c r="O52" i="77"/>
  <c r="J80" i="55"/>
  <c r="E38" i="65"/>
  <c r="G12" i="54"/>
  <c r="I58" i="39"/>
  <c r="M61" i="49"/>
  <c r="E10" i="54"/>
  <c r="J4" i="41"/>
  <c r="I46" i="38"/>
  <c r="G68" i="89"/>
  <c r="H23" i="77"/>
  <c r="F44"/>
  <c r="F11" i="19"/>
  <c r="J82" i="34"/>
  <c r="O12" i="60"/>
  <c r="H80" i="27"/>
  <c r="D9" i="43"/>
  <c r="J58" i="81"/>
  <c r="N107" i="68"/>
  <c r="K53" i="57"/>
  <c r="J6" i="76"/>
  <c r="K22" i="48"/>
  <c r="E57" i="63"/>
  <c r="M48" i="84"/>
  <c r="L70" i="65"/>
  <c r="D42" i="78"/>
  <c r="I49" i="35"/>
  <c r="H51" i="57"/>
  <c r="O97"/>
  <c r="I71" i="79"/>
  <c r="E49" i="66"/>
  <c r="K32" i="92"/>
  <c r="E10" i="42"/>
  <c r="E29" i="19"/>
  <c r="I37" i="25"/>
  <c r="K6" i="82"/>
  <c r="K47" i="35"/>
  <c r="D39" i="80"/>
  <c r="F62" i="65"/>
  <c r="K57" i="32"/>
  <c r="E64" i="86"/>
  <c r="D68" i="66"/>
  <c r="D49" i="65"/>
  <c r="H35" i="60"/>
  <c r="F41" i="54"/>
  <c r="E83" i="52"/>
  <c r="F71" i="72"/>
  <c r="I89" i="69"/>
  <c r="O100" i="70"/>
  <c r="E88" i="47"/>
  <c r="L35" i="55"/>
  <c r="O107" i="56"/>
  <c r="O103" i="89"/>
  <c r="E27" i="51"/>
  <c r="F14" i="94"/>
  <c r="D37"/>
  <c r="I23" i="71"/>
  <c r="M20" i="66"/>
  <c r="J6" i="62"/>
  <c r="I40" i="76"/>
  <c r="L22" i="61"/>
  <c r="N58" i="64"/>
  <c r="I103" i="61"/>
  <c r="K43" i="27"/>
  <c r="K91" i="49"/>
  <c r="O25" i="84"/>
  <c r="M28" i="91"/>
  <c r="K23" i="68"/>
  <c r="N49" i="43"/>
  <c r="M44" i="40"/>
  <c r="L48" i="25"/>
  <c r="N49" i="39"/>
  <c r="M8" i="38"/>
  <c r="E5" i="61"/>
  <c r="F27" i="53"/>
  <c r="G77" i="75"/>
  <c r="L19" i="82"/>
  <c r="G6" i="33"/>
  <c r="O70" i="65"/>
  <c r="F100" i="84"/>
  <c r="M4" i="72"/>
  <c r="I50" i="76"/>
  <c r="H92" i="49"/>
  <c r="G51" i="70"/>
  <c r="O11" i="39"/>
  <c r="H27" i="60"/>
  <c r="D68" i="26"/>
  <c r="K7"/>
  <c r="F47" i="25"/>
  <c r="J26" i="73"/>
  <c r="F4" i="25"/>
  <c r="L54"/>
  <c r="F100" i="35"/>
  <c r="G57" i="43"/>
  <c r="I10" i="71"/>
  <c r="F40" i="92"/>
  <c r="J14" i="45"/>
  <c r="H86" i="32"/>
  <c r="I36" i="49"/>
  <c r="D23" i="94"/>
  <c r="E65" i="62"/>
  <c r="I13" i="41"/>
  <c r="M6" i="80"/>
  <c r="D22" i="87"/>
  <c r="D17" i="78"/>
  <c r="J70" i="54"/>
  <c r="I70" i="29"/>
  <c r="D103" i="79"/>
  <c r="J80" i="75"/>
  <c r="E25" i="81"/>
  <c r="M100" i="60"/>
  <c r="N53" i="92"/>
  <c r="L30" i="91"/>
  <c r="N26" i="90"/>
  <c r="G70" i="82"/>
  <c r="O30" i="29"/>
  <c r="I59" i="89"/>
  <c r="D44" i="83"/>
  <c r="O12" i="38"/>
  <c r="M80" i="46"/>
  <c r="H82" i="85"/>
  <c r="D52" i="58"/>
  <c r="L31" i="63"/>
  <c r="D15" i="55"/>
  <c r="J21" i="72"/>
  <c r="G41" i="87"/>
  <c r="K38" i="40"/>
  <c r="G103" i="53"/>
  <c r="F37" i="87"/>
  <c r="H6" i="91"/>
  <c r="M106" i="48"/>
  <c r="D97" i="73"/>
  <c r="I74" i="79"/>
  <c r="H54" i="52"/>
  <c r="F16" i="26"/>
  <c r="D80" i="32"/>
  <c r="G6" i="58"/>
  <c r="H85" i="51"/>
  <c r="K73" i="84"/>
  <c r="G104" i="74"/>
  <c r="F28" i="67"/>
  <c r="H28" i="32"/>
  <c r="H107" i="94"/>
  <c r="K92" i="73"/>
  <c r="H79" i="39"/>
  <c r="M76" i="69"/>
  <c r="O20" i="62"/>
  <c r="L73" i="46"/>
  <c r="L88" i="81"/>
  <c r="L40" i="94"/>
  <c r="O15" i="72"/>
  <c r="D18" i="92"/>
  <c r="F65" i="48"/>
  <c r="H27" i="41"/>
  <c r="E30" i="90"/>
  <c r="O40" i="45"/>
  <c r="M64" i="46"/>
  <c r="O65" i="82"/>
  <c r="I77" i="36"/>
  <c r="D11" i="85"/>
  <c r="D28" i="29"/>
  <c r="D83" i="82"/>
  <c r="J51" i="47"/>
  <c r="M38" i="63"/>
  <c r="F41" i="66"/>
  <c r="G37" i="34"/>
  <c r="K64" i="67"/>
  <c r="O79" i="25"/>
  <c r="D59" i="92"/>
  <c r="H8" i="43"/>
  <c r="F14" i="85"/>
  <c r="E80" i="67"/>
  <c r="L16" i="68"/>
  <c r="H27" i="75"/>
  <c r="E53" i="40"/>
  <c r="G23" i="75"/>
  <c r="G89" i="63"/>
  <c r="K58" i="65"/>
  <c r="E24" i="66"/>
  <c r="H45" i="68"/>
  <c r="I14" i="80"/>
  <c r="D85" i="39"/>
  <c r="F49" i="53"/>
  <c r="J39" i="84"/>
  <c r="M88" i="92"/>
  <c r="F79" i="62"/>
  <c r="M25"/>
  <c r="J49" i="36"/>
  <c r="G71" i="93"/>
  <c r="E76" i="78"/>
  <c r="M98" i="60"/>
  <c r="K52" i="30"/>
  <c r="F20" i="47"/>
  <c r="O65" i="68"/>
  <c r="L44" i="93"/>
  <c r="N58" i="44"/>
  <c r="L68" i="34"/>
  <c r="H37" i="70"/>
  <c r="N6" i="49"/>
  <c r="N19" i="38"/>
  <c r="I55" i="45"/>
  <c r="F7" i="80"/>
  <c r="O54" i="90"/>
  <c r="E95" i="68"/>
  <c r="I46" i="55"/>
  <c r="K22" i="51"/>
  <c r="L70" i="29"/>
  <c r="H86" i="81"/>
  <c r="H64" i="27"/>
  <c r="F21" i="69"/>
  <c r="N13" i="46"/>
  <c r="E71" i="72"/>
  <c r="O32" i="33"/>
  <c r="J54" i="46"/>
  <c r="N103" i="63"/>
  <c r="O59" i="25"/>
  <c r="J44" i="70"/>
  <c r="F74" i="87"/>
  <c r="L19" i="73"/>
  <c r="G98" i="57"/>
  <c r="F45" i="44"/>
  <c r="L98" i="65"/>
  <c r="I35" i="93"/>
  <c r="L31" i="47"/>
  <c r="O43" i="60"/>
  <c r="I45" i="82"/>
  <c r="M33" i="62"/>
  <c r="E21" i="74"/>
  <c r="O26" i="64"/>
  <c r="N52" i="61"/>
  <c r="O34" i="59"/>
  <c r="E33" i="93"/>
  <c r="F56" i="73"/>
  <c r="D11" i="62"/>
  <c r="K104" i="78"/>
  <c r="I35" i="27"/>
  <c r="I54" i="66"/>
  <c r="G14" i="40"/>
  <c r="E86" i="26"/>
  <c r="N18" i="45"/>
  <c r="H26" i="38"/>
  <c r="K39" i="41"/>
  <c r="L7" i="82"/>
  <c r="H28" i="83"/>
  <c r="E18" i="61"/>
  <c r="E48" i="70"/>
  <c r="N64" i="36"/>
  <c r="D38" i="76"/>
  <c r="O64" i="51"/>
  <c r="J37" i="87"/>
  <c r="D65" i="52"/>
  <c r="H97" i="51"/>
  <c r="O23" i="65"/>
  <c r="H36" i="76"/>
  <c r="K27" i="45"/>
  <c r="M17" i="43"/>
  <c r="L97" i="76"/>
  <c r="I88" i="55"/>
  <c r="O17" i="35"/>
  <c r="I40" i="39"/>
  <c r="O27" i="63"/>
  <c r="N92" i="38"/>
  <c r="K92" i="63"/>
  <c r="I11" i="67"/>
  <c r="L68" i="35"/>
  <c r="M58" i="87"/>
  <c r="H107" i="50"/>
  <c r="G16" i="41"/>
  <c r="O98" i="75"/>
  <c r="L76" i="26"/>
  <c r="F85" i="92"/>
  <c r="H67" i="77"/>
  <c r="M97" i="33"/>
  <c r="L104" i="94"/>
  <c r="D62" i="44"/>
  <c r="G42" i="61"/>
  <c r="D88" i="83"/>
  <c r="E17" i="44"/>
  <c r="O21" i="83"/>
  <c r="H55" i="70"/>
  <c r="L25" i="86"/>
  <c r="M15" i="87"/>
  <c r="H106" i="41"/>
  <c r="E51" i="59"/>
  <c r="J107" i="45"/>
  <c r="H31" i="82"/>
  <c r="H16" i="55"/>
  <c r="F65" i="40"/>
  <c r="I70" i="52"/>
  <c r="K42" i="63"/>
  <c r="I86" i="67"/>
  <c r="M104" i="57"/>
  <c r="F79" i="72"/>
  <c r="O39" i="45"/>
  <c r="L53"/>
  <c r="H59" i="26"/>
  <c r="D31" i="55"/>
  <c r="K71" i="27"/>
  <c r="F17" i="44"/>
  <c r="I59" i="76"/>
  <c r="J33" i="81"/>
  <c r="I77" i="92"/>
  <c r="H89" i="26"/>
  <c r="I8" i="94"/>
  <c r="D53" i="33"/>
  <c r="F18" i="70"/>
  <c r="E53" i="66"/>
  <c r="F50" i="32"/>
  <c r="I28" i="39"/>
  <c r="K15" i="69"/>
  <c r="L40" i="82"/>
  <c r="D35" i="68"/>
  <c r="K13" i="58"/>
  <c r="E35" i="93"/>
  <c r="K62" i="84"/>
  <c r="I57" i="83"/>
  <c r="H14" i="54"/>
  <c r="O65" i="29"/>
  <c r="G40" i="75"/>
  <c r="K7" i="57"/>
  <c r="H42" i="26"/>
  <c r="D25" i="67"/>
  <c r="N62" i="51"/>
  <c r="E67" i="74"/>
  <c r="D33" i="84"/>
  <c r="M79" i="60"/>
  <c r="H31" i="76"/>
  <c r="O59" i="55"/>
  <c r="J95" i="89"/>
  <c r="N9" i="64"/>
  <c r="N48" i="34"/>
  <c r="J31" i="44"/>
  <c r="F8" i="76"/>
  <c r="J21" i="75"/>
  <c r="M86" i="40"/>
  <c r="J25" i="66"/>
  <c r="G51" i="41"/>
  <c r="F23" i="67"/>
  <c r="L65" i="40"/>
  <c r="D39" i="67"/>
  <c r="E94" i="83"/>
  <c r="J18" i="19"/>
  <c r="D9" i="25"/>
  <c r="G10" i="74"/>
  <c r="I6" i="26"/>
  <c r="J94" i="86"/>
  <c r="F56" i="33"/>
  <c r="M55" i="58"/>
  <c r="O9" i="60"/>
  <c r="K17" i="63"/>
  <c r="O43" i="84"/>
  <c r="M7" i="25"/>
  <c r="K52" i="63"/>
  <c r="M91" i="80"/>
  <c r="E65" i="35"/>
  <c r="D25" i="81"/>
  <c r="N46" i="61"/>
  <c r="L18" i="35"/>
  <c r="I86" i="50"/>
  <c r="M97" i="89"/>
  <c r="F85" i="94"/>
  <c r="H28" i="79"/>
  <c r="D53" i="74"/>
  <c r="L14" i="57"/>
  <c r="E53" i="82"/>
  <c r="E45" i="75"/>
  <c r="M82" i="51"/>
  <c r="L33" i="94"/>
  <c r="J54" i="55"/>
  <c r="N27" i="76"/>
  <c r="H55" i="59"/>
  <c r="O86" i="54"/>
  <c r="O49" i="29"/>
  <c r="H45" i="50"/>
  <c r="J48" i="27"/>
  <c r="D44" i="66"/>
  <c r="E26" i="34"/>
  <c r="E50" i="29"/>
  <c r="K68" i="83"/>
  <c r="E61" i="53"/>
  <c r="G64" i="62"/>
  <c r="M38" i="91"/>
  <c r="O37" i="76"/>
  <c r="M74" i="68"/>
  <c r="K36" i="62"/>
  <c r="J38" i="60"/>
  <c r="N24" i="34"/>
  <c r="O88" i="53"/>
  <c r="G100" i="86"/>
  <c r="G38" i="77"/>
  <c r="F94" i="72"/>
  <c r="L49" i="78"/>
  <c r="N31" i="30"/>
  <c r="K15" i="87"/>
  <c r="G51" i="48"/>
  <c r="M31" i="43"/>
  <c r="M35" i="35"/>
  <c r="G85" i="92"/>
  <c r="J92" i="54"/>
  <c r="D19" i="60"/>
  <c r="I91" i="55"/>
  <c r="M35" i="26"/>
  <c r="H26" i="58"/>
  <c r="F19" i="89"/>
  <c r="N31" i="80"/>
  <c r="H30" i="25"/>
  <c r="E6" i="34"/>
  <c r="O10" i="66"/>
  <c r="H40" i="65"/>
  <c r="O50" i="93"/>
  <c r="K24" i="87"/>
  <c r="N13" i="53"/>
  <c r="I101" i="49"/>
  <c r="L91" i="73"/>
  <c r="E34" i="58"/>
  <c r="F48" i="93"/>
  <c r="M34" i="92"/>
  <c r="O25" i="45"/>
  <c r="L15" i="74"/>
  <c r="G36" i="78"/>
  <c r="J29" i="49"/>
  <c r="N46" i="67"/>
  <c r="O104" i="49"/>
  <c r="N80" i="36"/>
  <c r="L30" i="46"/>
  <c r="E6" i="30"/>
  <c r="L33" i="89"/>
  <c r="N71" i="66"/>
  <c r="M18" i="33"/>
  <c r="E32" i="59"/>
  <c r="F11" i="54"/>
  <c r="O100" i="51"/>
  <c r="D104" i="62"/>
  <c r="M95" i="27"/>
  <c r="K34" i="69"/>
  <c r="O95" i="73"/>
  <c r="D64" i="92"/>
  <c r="M82" i="84"/>
  <c r="E91" i="66"/>
  <c r="H100"/>
  <c r="N52" i="91"/>
  <c r="I52" i="45"/>
  <c r="N79" i="70"/>
  <c r="N83" i="78"/>
  <c r="I41" i="75"/>
  <c r="M7" i="48"/>
  <c r="M25" i="71"/>
  <c r="I79" i="67"/>
  <c r="G53" i="66"/>
  <c r="H21" i="60"/>
  <c r="F4" i="92"/>
  <c r="D107" i="58"/>
  <c r="E86" i="92"/>
  <c r="N47" i="57"/>
  <c r="D65" i="25"/>
  <c r="I16" i="74"/>
  <c r="G103" i="82"/>
  <c r="J67" i="74"/>
  <c r="F82" i="69"/>
  <c r="K26" i="40"/>
  <c r="H29" i="68"/>
  <c r="M49" i="30"/>
  <c r="G91" i="76"/>
  <c r="G15" i="93"/>
  <c r="D74" i="27"/>
  <c r="D76" i="49"/>
  <c r="J42" i="55"/>
  <c r="E106" i="43"/>
  <c r="J73" i="89"/>
  <c r="G28" i="29"/>
  <c r="L44" i="51"/>
  <c r="M9" i="75"/>
  <c r="D16" i="59"/>
  <c r="M50" i="68"/>
  <c r="G103" i="78"/>
  <c r="N41" i="90"/>
  <c r="G12" i="40"/>
  <c r="M49" i="77"/>
  <c r="I22" i="62"/>
  <c r="E13" i="44"/>
  <c r="M51" i="41"/>
  <c r="H37" i="67"/>
  <c r="L48" i="44"/>
  <c r="F13" i="93"/>
  <c r="D95" i="90"/>
  <c r="J36" i="50"/>
  <c r="K57" i="74"/>
  <c r="G46" i="93"/>
  <c r="J4" i="59"/>
  <c r="G24" i="65"/>
  <c r="G15" i="43"/>
  <c r="I14" i="79"/>
  <c r="O104" i="69"/>
  <c r="L20" i="76"/>
  <c r="O104" i="38"/>
  <c r="L91" i="77"/>
  <c r="I53" i="73"/>
  <c r="L61" i="65"/>
  <c r="O31" i="39"/>
  <c r="J89" i="44"/>
  <c r="N103" i="53"/>
  <c r="H43" i="91"/>
  <c r="E95" i="26"/>
  <c r="K11" i="48"/>
  <c r="F26" i="32"/>
  <c r="N65" i="40"/>
  <c r="K92" i="53"/>
  <c r="M54" i="47"/>
  <c r="G76" i="48"/>
  <c r="D80" i="44"/>
  <c r="O18" i="68"/>
  <c r="F28" i="76"/>
  <c r="J31" i="80"/>
  <c r="N4" i="36"/>
  <c r="F59" i="87"/>
  <c r="O29" i="48"/>
  <c r="I70" i="79"/>
  <c r="D61" i="64"/>
  <c r="E103" i="62"/>
  <c r="M79" i="78"/>
  <c r="K5" i="26"/>
  <c r="H98" i="93"/>
  <c r="H61" i="41"/>
  <c r="O107" i="86"/>
  <c r="G74" i="19"/>
  <c r="M73" i="59"/>
  <c r="E39" i="25"/>
  <c r="H70" i="72"/>
  <c r="F51" i="52"/>
  <c r="K97" i="57"/>
  <c r="K15" i="56"/>
  <c r="I27" i="59"/>
  <c r="E58" i="71"/>
  <c r="L34" i="64"/>
  <c r="I74" i="48"/>
  <c r="J98" i="79"/>
  <c r="J41" i="46"/>
  <c r="D10" i="29"/>
  <c r="E51" i="85"/>
  <c r="L26" i="35"/>
  <c r="H49" i="30"/>
  <c r="E8" i="72"/>
  <c r="F20" i="80"/>
  <c r="D92" i="40"/>
  <c r="F91" i="27"/>
  <c r="H13" i="79"/>
  <c r="E20" i="27"/>
  <c r="G45" i="81"/>
  <c r="H89" i="19"/>
  <c r="M89" i="30"/>
  <c r="D92" i="75"/>
  <c r="K45" i="48"/>
  <c r="K57" i="39"/>
  <c r="L36" i="30"/>
  <c r="D100" i="62"/>
  <c r="N45" i="83"/>
  <c r="D42" i="75"/>
  <c r="D14" i="93"/>
  <c r="E68" i="81"/>
  <c r="F28" i="27"/>
  <c r="N8" i="81"/>
  <c r="J100" i="93"/>
  <c r="G26" i="54"/>
  <c r="G103" i="42"/>
  <c r="L73" i="57"/>
  <c r="H95" i="85"/>
  <c r="G9" i="26"/>
  <c r="K49" i="89"/>
  <c r="N59" i="61"/>
  <c r="L18" i="30"/>
  <c r="O44" i="51"/>
  <c r="H28" i="41"/>
  <c r="M18" i="27"/>
  <c r="M73" i="32"/>
  <c r="D12" i="29"/>
  <c r="O103" i="53"/>
  <c r="K24" i="27"/>
  <c r="F55" i="73"/>
  <c r="E48" i="25"/>
  <c r="N24" i="55"/>
  <c r="K30" i="25"/>
  <c r="E4" i="43"/>
  <c r="I16" i="75"/>
  <c r="G55" i="43"/>
  <c r="G49" i="59"/>
  <c r="F40" i="48"/>
  <c r="O44" i="33"/>
  <c r="K10" i="89"/>
  <c r="G85" i="46"/>
  <c r="F47" i="81"/>
  <c r="H32" i="55"/>
  <c r="G43" i="71"/>
  <c r="F4" i="79"/>
  <c r="N20" i="56"/>
  <c r="G71" i="52"/>
  <c r="D58"/>
  <c r="J59" i="66"/>
  <c r="E67" i="79"/>
  <c r="I16" i="93"/>
  <c r="O88" i="86"/>
  <c r="F94" i="74"/>
  <c r="N83" i="19"/>
  <c r="D52" i="61"/>
  <c r="I12" i="90"/>
  <c r="H82" i="55"/>
  <c r="F6" i="57"/>
  <c r="L26" i="81"/>
  <c r="N48" i="59"/>
  <c r="E57" i="64"/>
  <c r="F27" i="46"/>
  <c r="K95" i="92"/>
  <c r="F70" i="83"/>
  <c r="D100" i="75"/>
  <c r="I77" i="55"/>
  <c r="J25" i="71"/>
  <c r="G27" i="79"/>
  <c r="L42" i="47"/>
  <c r="M67" i="33"/>
  <c r="H29" i="85"/>
  <c r="D36" i="67"/>
  <c r="N25" i="73"/>
  <c r="N86" i="27"/>
  <c r="H35" i="40"/>
  <c r="M47" i="33"/>
  <c r="H48" i="29"/>
  <c r="H36" i="71"/>
  <c r="G32" i="39"/>
  <c r="G26" i="57"/>
  <c r="N23" i="93"/>
  <c r="M24" i="40"/>
  <c r="F14" i="75"/>
  <c r="D45" i="66"/>
  <c r="J76" i="59"/>
  <c r="G94" i="80"/>
  <c r="G56" i="51"/>
  <c r="L22" i="25"/>
  <c r="E52" i="76"/>
  <c r="I37" i="47"/>
  <c r="H40" i="68"/>
  <c r="L64" i="62"/>
  <c r="O26" i="91"/>
  <c r="G97" i="77"/>
  <c r="E74" i="36"/>
  <c r="D82" i="51"/>
  <c r="F92" i="61"/>
  <c r="J50" i="67"/>
  <c r="O46" i="35"/>
  <c r="D68" i="27"/>
  <c r="D107" i="52"/>
  <c r="K45" i="64"/>
  <c r="I44" i="48"/>
  <c r="D43" i="87"/>
  <c r="E9" i="26"/>
  <c r="F20" i="78"/>
  <c r="J71" i="36"/>
  <c r="E21" i="86"/>
  <c r="N40" i="64"/>
  <c r="H12" i="40"/>
  <c r="E43" i="76"/>
  <c r="H48" i="34"/>
  <c r="E76" i="52"/>
  <c r="I74" i="19"/>
  <c r="L64" i="29"/>
  <c r="G97" i="69"/>
  <c r="I28" i="60"/>
  <c r="H71" i="73"/>
  <c r="E7" i="83"/>
  <c r="J70" i="60"/>
  <c r="E67" i="36"/>
  <c r="K62" i="62"/>
  <c r="F73" i="25"/>
  <c r="K77" i="57"/>
  <c r="H67" i="89"/>
  <c r="M39" i="93"/>
  <c r="M13" i="87"/>
  <c r="M24" i="34"/>
  <c r="H54" i="30"/>
  <c r="N62" i="77"/>
  <c r="I27" i="70"/>
  <c r="D14" i="62"/>
  <c r="D8" i="74"/>
  <c r="M100" i="87"/>
  <c r="K65" i="30"/>
  <c r="H62" i="42"/>
  <c r="L4" i="72"/>
  <c r="N97" i="26"/>
  <c r="F73" i="57"/>
  <c r="L35" i="26"/>
  <c r="G29" i="73"/>
  <c r="J13" i="58"/>
  <c r="J27" i="48"/>
  <c r="J85" i="87"/>
  <c r="G16" i="36"/>
  <c r="F17" i="74"/>
  <c r="D59" i="91"/>
  <c r="E45" i="71"/>
  <c r="J104" i="38"/>
  <c r="F80" i="79"/>
  <c r="E95" i="43"/>
  <c r="D22" i="72"/>
  <c r="H95" i="43"/>
  <c r="N54" i="33"/>
  <c r="N52" i="49"/>
  <c r="D4" i="89"/>
  <c r="N19" i="55"/>
  <c r="H97" i="26"/>
  <c r="D74" i="76"/>
  <c r="F56" i="68"/>
  <c r="K43" i="65"/>
  <c r="H86" i="25"/>
  <c r="E31" i="36"/>
  <c r="E83" i="76"/>
  <c r="M8" i="45"/>
  <c r="F86" i="51"/>
  <c r="O62" i="25"/>
  <c r="L88" i="58"/>
  <c r="G16" i="90"/>
  <c r="G94" i="81"/>
  <c r="E80" i="48"/>
  <c r="O7" i="49"/>
  <c r="I47" i="89"/>
  <c r="G82" i="60"/>
  <c r="F80" i="56"/>
  <c r="H68" i="90"/>
  <c r="O18" i="86"/>
  <c r="J10" i="92"/>
  <c r="G47" i="30"/>
  <c r="H103" i="86"/>
  <c r="E42" i="25"/>
  <c r="K15" i="45"/>
  <c r="O71" i="61"/>
  <c r="D86" i="94"/>
  <c r="N34" i="78"/>
  <c r="H77" i="56"/>
  <c r="E29" i="94"/>
  <c r="G76" i="90"/>
  <c r="O40" i="41"/>
  <c r="O26" i="81"/>
  <c r="I82" i="52"/>
  <c r="O27" i="92"/>
  <c r="J45" i="34"/>
  <c r="E32" i="82"/>
  <c r="L98" i="81"/>
  <c r="O58" i="87"/>
  <c r="O19" i="32"/>
  <c r="E74" i="44"/>
  <c r="E46" i="35"/>
  <c r="M100" i="80"/>
  <c r="H5" i="61"/>
  <c r="J29" i="66"/>
  <c r="O21" i="41"/>
  <c r="F92" i="32"/>
  <c r="J44" i="44"/>
  <c r="J35" i="86"/>
  <c r="M32" i="80"/>
  <c r="E53" i="54"/>
  <c r="K29" i="49"/>
  <c r="J34" i="41"/>
  <c r="E32" i="79"/>
  <c r="J17" i="73"/>
  <c r="O21" i="43"/>
  <c r="CL43" i="3" s="1"/>
  <c r="N40" i="66"/>
  <c r="D80" i="90"/>
  <c r="O107" i="83"/>
  <c r="G27" i="78"/>
  <c r="L24" i="36"/>
  <c r="F36" i="41"/>
  <c r="F74" i="51"/>
  <c r="K42" i="27"/>
  <c r="L29" i="64"/>
  <c r="L80" i="56"/>
  <c r="H6" i="33"/>
  <c r="I26" i="60"/>
  <c r="F53" i="43"/>
  <c r="F54" i="25"/>
  <c r="D41" i="50"/>
  <c r="G86" i="75"/>
  <c r="N10" i="78"/>
  <c r="D91" i="84"/>
  <c r="D21" i="76"/>
  <c r="G45" i="56"/>
  <c r="D73" i="59"/>
  <c r="L39" i="76"/>
  <c r="K95" i="77"/>
  <c r="H61" i="30"/>
  <c r="O82" i="69"/>
  <c r="L85" i="63"/>
  <c r="H20" i="68"/>
  <c r="L92" i="73"/>
  <c r="G46" i="80"/>
  <c r="E34" i="26"/>
  <c r="O35" i="33"/>
  <c r="J97" i="83"/>
  <c r="D28" i="33"/>
  <c r="D8" i="51"/>
  <c r="M50" i="63"/>
  <c r="F97" i="81"/>
  <c r="I67" i="85"/>
  <c r="D33" i="67"/>
  <c r="N52" i="29"/>
  <c r="L50" i="83"/>
  <c r="K14" i="69"/>
  <c r="L83" i="67"/>
  <c r="O76" i="53"/>
  <c r="L46" i="66"/>
  <c r="H62" i="86"/>
  <c r="J64" i="66"/>
  <c r="N52" i="92"/>
  <c r="H70" i="89"/>
  <c r="L55" i="56"/>
  <c r="G86" i="55"/>
  <c r="M17" i="62"/>
  <c r="D70" i="51"/>
  <c r="E45" i="74"/>
  <c r="K4" i="61"/>
  <c r="K89" i="30"/>
  <c r="K30" i="82"/>
  <c r="D14" i="74"/>
  <c r="F27" i="90"/>
  <c r="G55" i="89"/>
  <c r="K54" i="34"/>
  <c r="L53" i="44"/>
  <c r="G98" i="75"/>
  <c r="O33" i="73"/>
  <c r="K65" i="56"/>
  <c r="G9" i="74"/>
  <c r="H22" i="54"/>
  <c r="H47" i="86"/>
  <c r="N76" i="80"/>
  <c r="G57" i="94"/>
  <c r="J36" i="75"/>
  <c r="N47" i="87"/>
  <c r="N67" i="61"/>
  <c r="O28" i="90"/>
  <c r="J34" i="78"/>
  <c r="N9" i="39"/>
  <c r="H38" i="62"/>
  <c r="I13" i="26"/>
  <c r="I42" i="77"/>
  <c r="L4" i="40"/>
  <c r="D79" i="82"/>
  <c r="H94" i="94"/>
  <c r="H20" i="56"/>
  <c r="I21" i="49"/>
  <c r="I15" i="53"/>
  <c r="F79" i="64"/>
  <c r="O50" i="81"/>
  <c r="E27" i="69"/>
  <c r="M14" i="71"/>
  <c r="D91" i="45"/>
  <c r="H46" i="47"/>
  <c r="J35" i="89"/>
  <c r="D104" i="74"/>
  <c r="L88" i="93"/>
  <c r="M34" i="36"/>
  <c r="H83" i="63"/>
  <c r="N100" i="45"/>
  <c r="F19" i="73"/>
  <c r="M98" i="70"/>
  <c r="D80" i="26"/>
  <c r="H100" i="38"/>
  <c r="H101" i="86"/>
  <c r="H83" i="47"/>
  <c r="K103" i="62"/>
  <c r="N104" i="81"/>
  <c r="F54" i="41"/>
  <c r="D95" i="82"/>
  <c r="F47" i="85"/>
  <c r="M9" i="27"/>
  <c r="D25" i="73"/>
  <c r="N73" i="83"/>
  <c r="J101" i="84"/>
  <c r="G46" i="36"/>
  <c r="G26" i="51"/>
  <c r="H58" i="89"/>
  <c r="F86" i="26"/>
  <c r="K91" i="92"/>
  <c r="E37" i="25"/>
  <c r="L25" i="53"/>
  <c r="D28"/>
  <c r="K45" i="70"/>
  <c r="M31" i="46"/>
  <c r="N11" i="57"/>
  <c r="D24" i="64"/>
  <c r="L53" i="38"/>
  <c r="E38" i="47"/>
  <c r="N107" i="64"/>
  <c r="F35" i="78"/>
  <c r="E22" i="52"/>
  <c r="E55" i="26"/>
  <c r="M17" i="69"/>
  <c r="I25" i="51"/>
  <c r="I62" i="55"/>
  <c r="O33" i="43"/>
  <c r="E8" i="63"/>
  <c r="O41" i="49"/>
  <c r="M12" i="81"/>
  <c r="N15"/>
  <c r="D10" i="93"/>
  <c r="L27" i="25"/>
  <c r="M62" i="76"/>
  <c r="I4" i="48"/>
  <c r="I37" i="39"/>
  <c r="F59" i="72"/>
  <c r="N62" i="62"/>
  <c r="E85" i="90"/>
  <c r="F71" i="45"/>
  <c r="M55" i="56"/>
  <c r="O88" i="25"/>
  <c r="O70" i="27"/>
  <c r="N22" i="61"/>
  <c r="N76" i="69"/>
  <c r="K36" i="65"/>
  <c r="G21" i="53"/>
  <c r="N39" i="60"/>
  <c r="L51" i="66"/>
  <c r="G82" i="61"/>
  <c r="L64" i="93"/>
  <c r="K37" i="41"/>
  <c r="H49" i="76"/>
  <c r="J77" i="29"/>
  <c r="I62" i="69"/>
  <c r="O48" i="33"/>
  <c r="E43" i="92"/>
  <c r="G55" i="69"/>
  <c r="J7" i="32"/>
  <c r="M79" i="92"/>
  <c r="E107" i="55"/>
  <c r="M98" i="81"/>
  <c r="H44" i="48"/>
  <c r="G48" i="85"/>
  <c r="H79" i="42"/>
  <c r="M43" i="69"/>
  <c r="H36" i="72"/>
  <c r="M62" i="56"/>
  <c r="J44" i="60"/>
  <c r="O41" i="80"/>
  <c r="K64" i="83"/>
  <c r="K53" i="45"/>
  <c r="F98" i="74"/>
  <c r="I70" i="50"/>
  <c r="J20" i="58"/>
  <c r="I67" i="25"/>
  <c r="D83" i="87"/>
  <c r="O22" i="74"/>
  <c r="M36" i="84"/>
  <c r="D51" i="75"/>
  <c r="N48" i="49"/>
  <c r="K23" i="48"/>
  <c r="I9" i="76"/>
  <c r="F35" i="87"/>
  <c r="D21" i="50"/>
  <c r="M35" i="90"/>
  <c r="E54" i="60"/>
  <c r="L56" i="49"/>
  <c r="D24" i="33"/>
  <c r="H5" i="70"/>
  <c r="D15" i="79"/>
  <c r="K56" i="45"/>
  <c r="I56" i="55"/>
  <c r="F33" i="76"/>
  <c r="H14" i="65"/>
  <c r="J104" i="36"/>
  <c r="O70" i="76"/>
  <c r="D5" i="69"/>
  <c r="D94" i="50"/>
  <c r="E20" i="89"/>
  <c r="I36" i="43"/>
  <c r="M8" i="25"/>
  <c r="J24" i="70"/>
  <c r="D86" i="75"/>
  <c r="J42" i="68"/>
  <c r="O6" i="83"/>
  <c r="F82" i="44"/>
  <c r="K50" i="76"/>
  <c r="E11" i="25"/>
  <c r="L35" i="29"/>
  <c r="O48" i="34"/>
  <c r="E50" i="77"/>
  <c r="H30" i="69"/>
  <c r="D86" i="68"/>
  <c r="N25" i="49"/>
  <c r="G58" i="19"/>
  <c r="E106" i="75"/>
  <c r="H6" i="30"/>
  <c r="M65" i="92"/>
  <c r="D10" i="87"/>
  <c r="F71" i="94"/>
  <c r="K43" i="71"/>
  <c r="O44" i="19"/>
  <c r="I55" i="62"/>
  <c r="H36" i="59"/>
  <c r="K98" i="26"/>
  <c r="H54" i="81"/>
  <c r="K56" i="58"/>
  <c r="E58" i="77"/>
  <c r="K36" i="34"/>
  <c r="G21" i="82"/>
  <c r="M17" i="65"/>
  <c r="E41" i="19"/>
  <c r="E20" i="52"/>
  <c r="O80" i="55"/>
  <c r="L30" i="90"/>
  <c r="N44" i="46"/>
  <c r="D55" i="72"/>
  <c r="K55" i="53"/>
  <c r="J17" i="83"/>
  <c r="E24" i="27"/>
  <c r="K23" i="30"/>
  <c r="G20" i="39"/>
  <c r="H48" i="36"/>
  <c r="H20" i="80"/>
  <c r="E37" i="61"/>
  <c r="D18" i="62"/>
  <c r="I48" i="38"/>
  <c r="L57" i="84"/>
  <c r="D11"/>
  <c r="E18" i="70"/>
  <c r="D56" i="52"/>
  <c r="E38" i="78"/>
  <c r="O106" i="57"/>
  <c r="N58" i="67"/>
  <c r="J97" i="25"/>
  <c r="I94" i="71"/>
  <c r="L89" i="91"/>
  <c r="E55" i="38"/>
  <c r="N40" i="94"/>
  <c r="M26" i="69"/>
  <c r="F14" i="26"/>
  <c r="O85" i="38"/>
  <c r="G74" i="63"/>
  <c r="G35" i="71"/>
  <c r="E54" i="26"/>
  <c r="I13" i="56"/>
  <c r="N32" i="26"/>
  <c r="F48" i="59"/>
  <c r="I6" i="90"/>
  <c r="M34" i="56"/>
  <c r="J98" i="94"/>
  <c r="I79" i="78"/>
  <c r="O107" i="44"/>
  <c r="O73" i="49"/>
  <c r="F17" i="25"/>
  <c r="J103" i="62"/>
  <c r="E104" i="79"/>
  <c r="L94" i="57"/>
  <c r="I85" i="90"/>
  <c r="G16" i="86"/>
  <c r="M107" i="63"/>
  <c r="I67" i="56"/>
  <c r="J45" i="70"/>
  <c r="E49" i="77"/>
  <c r="H86" i="34"/>
  <c r="G9" i="53"/>
  <c r="N41"/>
  <c r="I100"/>
  <c r="M43" i="89"/>
  <c r="F95" i="92"/>
  <c r="G74" i="48"/>
  <c r="M50" i="32"/>
  <c r="I9" i="36"/>
  <c r="L82" i="26"/>
  <c r="G47" i="69"/>
  <c r="E18" i="82"/>
  <c r="D64" i="62"/>
  <c r="J10" i="76"/>
  <c r="O57" i="72"/>
  <c r="G23" i="67"/>
  <c r="H16" i="62"/>
  <c r="I37" i="33"/>
  <c r="D62" i="57"/>
  <c r="D8" i="77"/>
  <c r="F79" i="50"/>
  <c r="E15" i="65"/>
  <c r="F9" i="59"/>
  <c r="D76" i="56"/>
  <c r="G11" i="91"/>
  <c r="L42" i="69"/>
  <c r="L79" i="72"/>
  <c r="D104" i="54"/>
  <c r="G29" i="36"/>
  <c r="D22" i="83"/>
  <c r="G36" i="32"/>
  <c r="N9" i="27"/>
  <c r="F34" i="90"/>
  <c r="M26" i="61"/>
  <c r="G38" i="29"/>
  <c r="D28" i="35"/>
  <c r="L6" i="26"/>
  <c r="M91" i="84"/>
  <c r="I95" i="52"/>
  <c r="D92" i="91"/>
  <c r="K83" i="54"/>
  <c r="K29" i="72"/>
  <c r="I88" i="39"/>
  <c r="N82" i="71"/>
  <c r="O103" i="65"/>
  <c r="J49" i="39"/>
  <c r="D24" i="77"/>
  <c r="D74" i="91"/>
  <c r="F15" i="53"/>
  <c r="H104" i="91"/>
  <c r="G82" i="29"/>
  <c r="H7" i="73"/>
  <c r="N73" i="49"/>
  <c r="N25" i="36"/>
  <c r="H28" i="82"/>
  <c r="I51" i="87"/>
  <c r="O98" i="89"/>
  <c r="G32" i="82"/>
  <c r="I24" i="51"/>
  <c r="F28" i="30"/>
  <c r="M16" i="76"/>
  <c r="H29" i="93"/>
  <c r="G41" i="55"/>
  <c r="N86" i="30"/>
  <c r="E28" i="33"/>
  <c r="D88" i="73"/>
  <c r="D4" i="30"/>
  <c r="J29" i="50"/>
  <c r="H33" i="92"/>
  <c r="H97" i="53"/>
  <c r="I59" i="78"/>
  <c r="J103" i="54"/>
  <c r="E5"/>
  <c r="E42" i="57"/>
  <c r="I85" i="81"/>
  <c r="K77" i="36"/>
  <c r="D104" i="92"/>
  <c r="H48" i="44"/>
  <c r="G8" i="61"/>
  <c r="J68" i="94"/>
  <c r="J52" i="48"/>
  <c r="M5" i="82"/>
  <c r="O92" i="78"/>
  <c r="E45" i="34"/>
  <c r="H49" i="82"/>
  <c r="K107" i="64"/>
  <c r="M9" i="47"/>
  <c r="D21" i="63"/>
  <c r="M38" i="84"/>
  <c r="E46" i="62"/>
  <c r="N104" i="32"/>
  <c r="K61" i="66"/>
  <c r="N49" i="70"/>
  <c r="E71" i="58"/>
  <c r="D65" i="62"/>
  <c r="G10" i="79"/>
  <c r="K70" i="29"/>
  <c r="N53" i="70"/>
  <c r="E43" i="75"/>
  <c r="K24" i="26"/>
  <c r="N57" i="46"/>
  <c r="G53" i="35"/>
  <c r="E37" i="44"/>
  <c r="O39" i="40"/>
  <c r="J57" i="84"/>
  <c r="E58" i="72"/>
  <c r="F23" i="80"/>
  <c r="L85" i="32"/>
  <c r="F12" i="47"/>
  <c r="K25" i="76"/>
  <c r="D80" i="29"/>
  <c r="F16" i="91"/>
  <c r="H13" i="48"/>
  <c r="N83" i="80"/>
  <c r="G11" i="59"/>
  <c r="L29" i="81"/>
  <c r="N55" i="35"/>
  <c r="F53" i="34"/>
  <c r="K59" i="19"/>
  <c r="D14" i="54"/>
  <c r="N46" i="34"/>
  <c r="N33" i="55"/>
  <c r="G17" i="34"/>
  <c r="L92" i="33"/>
  <c r="E28" i="57"/>
  <c r="N24" i="33"/>
  <c r="O20" i="81"/>
  <c r="G64" i="72"/>
  <c r="N67" i="51"/>
  <c r="H20" i="60"/>
  <c r="O106" i="56"/>
  <c r="F4" i="52"/>
  <c r="J9" i="19"/>
  <c r="O20" i="61"/>
  <c r="L73" i="35"/>
  <c r="O6" i="72"/>
  <c r="E86" i="89"/>
  <c r="H94" i="27"/>
  <c r="G53" i="51"/>
  <c r="D70" i="91"/>
  <c r="H25" i="36"/>
  <c r="K61" i="75"/>
  <c r="E68" i="85"/>
  <c r="I83" i="60"/>
  <c r="O74" i="43"/>
  <c r="M20" i="47"/>
  <c r="E70" i="66"/>
  <c r="F104" i="70"/>
  <c r="O14"/>
  <c r="F7" i="59"/>
  <c r="F57" i="41"/>
  <c r="M33" i="93"/>
  <c r="D13" i="62"/>
  <c r="N29" i="84"/>
  <c r="K44" i="66"/>
  <c r="F4" i="87"/>
  <c r="K12" i="35"/>
  <c r="E30"/>
  <c r="L43" i="54"/>
  <c r="G71" i="71"/>
  <c r="D46" i="44"/>
  <c r="G27" i="77"/>
  <c r="K89" i="29"/>
  <c r="G34" i="69"/>
  <c r="H80" i="44"/>
  <c r="J77" i="93"/>
  <c r="G56" i="39"/>
  <c r="D18" i="32"/>
  <c r="L67" i="62"/>
  <c r="L12" i="60"/>
  <c r="E103" i="79"/>
  <c r="E34" i="72"/>
  <c r="I29" i="91"/>
  <c r="M45" i="64"/>
  <c r="F74" i="74"/>
  <c r="I101" i="93"/>
  <c r="E41" i="39"/>
  <c r="E58" i="65"/>
  <c r="N40" i="86"/>
  <c r="F100" i="66"/>
  <c r="H94" i="46"/>
  <c r="N77" i="68"/>
  <c r="J13" i="70"/>
  <c r="G9" i="36"/>
  <c r="H38" i="94"/>
  <c r="I34" i="90"/>
  <c r="F86" i="35"/>
  <c r="N97" i="69"/>
  <c r="I5" i="83"/>
  <c r="F88" i="30"/>
  <c r="J33" i="65"/>
  <c r="M101" i="71"/>
  <c r="N27" i="81"/>
  <c r="G26" i="32"/>
  <c r="J40" i="45"/>
  <c r="I9" i="84"/>
  <c r="I95" i="36"/>
  <c r="I29" i="70"/>
  <c r="H24" i="86"/>
  <c r="F70" i="30"/>
  <c r="J20" i="29"/>
  <c r="H54" i="40"/>
  <c r="E59" i="45"/>
  <c r="N39" i="19"/>
  <c r="I22" i="79"/>
  <c r="E5" i="82"/>
  <c r="O104" i="26"/>
  <c r="N95" i="38"/>
  <c r="H33" i="29"/>
  <c r="G83" i="92"/>
  <c r="O92" i="27"/>
  <c r="D15" i="86"/>
  <c r="O53" i="82"/>
  <c r="O64" i="47"/>
  <c r="I5" i="81"/>
  <c r="G25"/>
  <c r="N19" i="66"/>
  <c r="F76" i="70"/>
  <c r="M50" i="38"/>
  <c r="L10" i="87"/>
  <c r="I58" i="44"/>
  <c r="F44" i="30"/>
  <c r="G15" i="91"/>
  <c r="M51" i="76"/>
  <c r="E59" i="53"/>
  <c r="G97" i="25"/>
  <c r="I46" i="33"/>
  <c r="H70" i="77"/>
  <c r="I11" i="68"/>
  <c r="H61" i="83"/>
  <c r="G16" i="75"/>
  <c r="J31" i="35"/>
  <c r="O61" i="56"/>
  <c r="K16" i="72"/>
  <c r="J94" i="47"/>
  <c r="H62" i="89"/>
  <c r="L95" i="74"/>
  <c r="E16" i="85"/>
  <c r="K44" i="36"/>
  <c r="L107" i="71"/>
  <c r="H62" i="80"/>
  <c r="O88" i="69"/>
  <c r="O44" i="59"/>
  <c r="L18" i="61"/>
  <c r="M45" i="92"/>
  <c r="E97" i="30"/>
  <c r="J43" i="39"/>
  <c r="E62" i="93"/>
  <c r="J104" i="58"/>
  <c r="F97" i="93"/>
  <c r="J106" i="58"/>
  <c r="F53" i="44"/>
  <c r="N52" i="94"/>
  <c r="J21" i="73"/>
  <c r="N86" i="86"/>
  <c r="J77" i="35"/>
  <c r="I77" i="43"/>
  <c r="H21" i="66"/>
  <c r="M89" i="43"/>
  <c r="G73" i="33"/>
  <c r="G44" i="19"/>
  <c r="H30" i="61"/>
  <c r="E42" i="83"/>
  <c r="E13" i="61"/>
  <c r="H71" i="87"/>
  <c r="G44" i="29"/>
  <c r="I43" i="63"/>
  <c r="F22" i="53"/>
  <c r="G97" i="57"/>
  <c r="M98" i="27"/>
  <c r="N91" i="70"/>
  <c r="N39" i="73"/>
  <c r="G20" i="43"/>
  <c r="K70" i="84"/>
  <c r="K103" i="60"/>
  <c r="N70" i="90"/>
  <c r="I20" i="32"/>
  <c r="D8" i="34"/>
  <c r="D43" i="65"/>
  <c r="O31" i="29"/>
  <c r="N6" i="38"/>
  <c r="J57" i="78"/>
  <c r="L17" i="38"/>
  <c r="E76" i="34"/>
  <c r="E27" i="72"/>
  <c r="L30" i="59"/>
  <c r="H51" i="38"/>
  <c r="K16" i="69"/>
  <c r="L14" i="56"/>
  <c r="M56" i="39"/>
  <c r="I26" i="58"/>
  <c r="D42" i="77"/>
  <c r="K94" i="57"/>
  <c r="E44" i="60"/>
  <c r="L79" i="43"/>
  <c r="N83" i="86"/>
  <c r="I76" i="62"/>
  <c r="J16" i="86"/>
  <c r="F49" i="48"/>
  <c r="N6" i="40"/>
  <c r="M97" i="76"/>
  <c r="L34" i="44"/>
  <c r="K59" i="87"/>
  <c r="H50" i="77"/>
  <c r="N65" i="26"/>
  <c r="E40" i="70"/>
  <c r="J14" i="19"/>
  <c r="N31" i="38"/>
  <c r="O64" i="69"/>
  <c r="D42" i="64"/>
  <c r="N80" i="81"/>
  <c r="K45" i="40"/>
  <c r="E64" i="80"/>
  <c r="H14" i="48"/>
  <c r="D55"/>
  <c r="K48" i="34"/>
  <c r="K27" i="67"/>
  <c r="D43" i="78"/>
  <c r="F36" i="53"/>
  <c r="J8" i="47"/>
  <c r="F10" i="30"/>
  <c r="F94" i="43"/>
  <c r="F89" i="86"/>
  <c r="F12" i="32"/>
  <c r="F95" i="89"/>
  <c r="H65" i="65"/>
  <c r="G58"/>
  <c r="D104" i="51"/>
  <c r="J12" i="94"/>
  <c r="N56" i="53"/>
  <c r="J88" i="36"/>
  <c r="M106" i="66"/>
  <c r="F6" i="92"/>
  <c r="H100" i="90"/>
  <c r="O80" i="38"/>
  <c r="N41" i="32"/>
  <c r="E26" i="49"/>
  <c r="L18" i="92"/>
  <c r="J50" i="39"/>
  <c r="E30" i="75"/>
  <c r="K47" i="90"/>
  <c r="G8" i="84"/>
  <c r="E19" i="25"/>
  <c r="M104" i="59"/>
  <c r="E39" i="84"/>
  <c r="H62" i="67"/>
  <c r="O68" i="43"/>
  <c r="I88" i="78"/>
  <c r="O17" i="92"/>
  <c r="I40" i="50"/>
  <c r="F37" i="80"/>
  <c r="J50" i="94"/>
  <c r="L47" i="29"/>
  <c r="E38" i="48"/>
  <c r="E22" i="75"/>
  <c r="L31" i="62"/>
  <c r="J42" i="89"/>
  <c r="D7" i="59"/>
  <c r="L103" i="43"/>
  <c r="G18" i="89"/>
  <c r="F73" i="53"/>
  <c r="H56" i="41"/>
  <c r="M37" i="82"/>
  <c r="G71" i="38"/>
  <c r="I25" i="33"/>
  <c r="D34" i="45"/>
  <c r="E52" i="49"/>
  <c r="I58" i="89"/>
  <c r="I22" i="60"/>
  <c r="K33" i="67"/>
  <c r="L67" i="27"/>
  <c r="N23" i="74"/>
  <c r="I15"/>
  <c r="J95" i="27"/>
  <c r="E57" i="71"/>
  <c r="I18" i="85"/>
  <c r="F5" i="19"/>
  <c r="M49" i="58"/>
  <c r="L36" i="63"/>
  <c r="H106" i="86"/>
  <c r="K41" i="61"/>
  <c r="I10" i="41"/>
  <c r="J31" i="56"/>
  <c r="F104" i="57"/>
  <c r="K39" i="64"/>
  <c r="G54" i="78"/>
  <c r="H58" i="56"/>
  <c r="O56" i="46"/>
  <c r="D74" i="30"/>
  <c r="J71" i="68"/>
  <c r="O53" i="19"/>
  <c r="E25" i="86"/>
  <c r="H62" i="61"/>
  <c r="G104" i="57"/>
  <c r="I44" i="90"/>
  <c r="L33" i="43"/>
  <c r="L47" i="32"/>
  <c r="M53" i="49"/>
  <c r="N101" i="70"/>
  <c r="M14" i="25"/>
  <c r="F20" i="44"/>
  <c r="E106" i="55"/>
  <c r="M19" i="68"/>
  <c r="H56" i="19"/>
  <c r="G36" i="43"/>
  <c r="H54" i="39"/>
  <c r="J91" i="68"/>
  <c r="L59" i="83"/>
  <c r="M21" i="47"/>
  <c r="F50" i="61"/>
  <c r="N101" i="71"/>
  <c r="I34" i="68"/>
  <c r="J17" i="92"/>
  <c r="D12" i="65"/>
  <c r="D19" i="92"/>
  <c r="J101" i="43"/>
  <c r="K37" i="54"/>
  <c r="F82" i="76"/>
  <c r="O49" i="73"/>
  <c r="E101" i="65"/>
  <c r="M42" i="44"/>
  <c r="E20" i="55"/>
  <c r="K42" i="44"/>
  <c r="O68" i="49"/>
  <c r="G101" i="32"/>
  <c r="N74" i="83"/>
  <c r="M97" i="65"/>
  <c r="H85" i="53"/>
  <c r="K97" i="59"/>
  <c r="G7" i="45"/>
  <c r="L29" i="89"/>
  <c r="I85" i="83"/>
  <c r="E104" i="48"/>
  <c r="L41" i="74"/>
  <c r="G47" i="56"/>
  <c r="H41" i="43"/>
  <c r="K15" i="89"/>
  <c r="O106" i="86"/>
  <c r="N73" i="67"/>
  <c r="L95" i="83"/>
  <c r="F13" i="34"/>
  <c r="K6"/>
  <c r="K51" i="83"/>
  <c r="N64" i="61"/>
  <c r="I42" i="67"/>
  <c r="L51" i="73"/>
  <c r="H95" i="63"/>
  <c r="L40" i="74"/>
  <c r="M9" i="90"/>
  <c r="K13" i="36"/>
  <c r="K11" i="87"/>
  <c r="L4" i="36"/>
  <c r="E104" i="39"/>
  <c r="H5" i="59"/>
  <c r="M21" i="38"/>
  <c r="G18" i="81"/>
  <c r="D21" i="25"/>
  <c r="G18" i="29"/>
  <c r="E10" i="68"/>
  <c r="M12" i="34"/>
  <c r="N45" i="39"/>
  <c r="E88" i="83"/>
  <c r="J37" i="43"/>
  <c r="F22" i="84"/>
  <c r="K49" i="60"/>
  <c r="J19" i="73"/>
  <c r="G51" i="59"/>
  <c r="E32" i="80"/>
  <c r="N12" i="75"/>
  <c r="G104" i="63"/>
  <c r="D44" i="77"/>
  <c r="I77" i="62"/>
  <c r="E86" i="74"/>
  <c r="I27" i="68"/>
  <c r="N27" i="45"/>
  <c r="N61" i="89"/>
  <c r="D71" i="41"/>
  <c r="F62"/>
  <c r="N28" i="61"/>
  <c r="H25" i="52"/>
  <c r="M5" i="56"/>
  <c r="L59" i="19"/>
  <c r="E21" i="33"/>
  <c r="J23" i="25"/>
  <c r="F106" i="92"/>
  <c r="H4" i="70"/>
  <c r="G79" i="72"/>
  <c r="E47" i="70"/>
  <c r="J57" i="38"/>
  <c r="H74" i="60"/>
  <c r="J64" i="49"/>
  <c r="H98" i="85"/>
  <c r="N83" i="32"/>
  <c r="K24"/>
  <c r="H10" i="45"/>
  <c r="M16" i="38"/>
  <c r="J4" i="56"/>
  <c r="I59" i="81"/>
  <c r="F107" i="47"/>
  <c r="J35" i="62"/>
  <c r="J92" i="89"/>
  <c r="G94" i="57"/>
  <c r="G32" i="70"/>
  <c r="G61" i="73"/>
  <c r="F104" i="50"/>
  <c r="O55" i="84"/>
  <c r="I49" i="38"/>
  <c r="H5" i="75"/>
  <c r="E97" i="93"/>
  <c r="E61" i="86"/>
  <c r="K12" i="78"/>
  <c r="F35" i="39"/>
  <c r="D85" i="65"/>
  <c r="L67" i="80"/>
  <c r="I54" i="60"/>
  <c r="H15" i="64"/>
  <c r="K50" i="57"/>
  <c r="H18" i="58"/>
  <c r="D28" i="50"/>
  <c r="L74" i="56"/>
  <c r="I7" i="44"/>
  <c r="J85" i="82"/>
  <c r="H107" i="78"/>
  <c r="L10" i="74"/>
  <c r="E38" i="45"/>
  <c r="G5" i="74"/>
  <c r="I54" i="32"/>
  <c r="O45" i="49"/>
  <c r="M18" i="26"/>
  <c r="G24" i="68"/>
  <c r="I58" i="60"/>
  <c r="N34" i="94"/>
  <c r="J97" i="84"/>
  <c r="F80" i="42"/>
  <c r="D50" i="27"/>
  <c r="E15" i="47"/>
  <c r="D4" i="45"/>
  <c r="M73" i="89"/>
  <c r="M37" i="45"/>
  <c r="O30" i="77"/>
  <c r="M104" i="92"/>
  <c r="G7" i="62"/>
  <c r="K4" i="44"/>
  <c r="J100" i="86"/>
  <c r="L91" i="58"/>
  <c r="N106" i="41"/>
  <c r="G28" i="91"/>
  <c r="K70" i="39"/>
  <c r="I41" i="61"/>
  <c r="N25" i="45"/>
  <c r="L39" i="59"/>
  <c r="J29" i="72"/>
  <c r="E45" i="91"/>
  <c r="L19" i="67"/>
  <c r="I26" i="45"/>
  <c r="E43" i="25"/>
  <c r="G23" i="51"/>
  <c r="K26" i="89"/>
  <c r="F12" i="26"/>
  <c r="K64" i="92"/>
  <c r="K52" i="56"/>
  <c r="N29" i="40"/>
  <c r="I54" i="49"/>
  <c r="H95" i="91"/>
  <c r="K42" i="30"/>
  <c r="O62" i="41"/>
  <c r="E88" i="63"/>
  <c r="D14" i="61"/>
  <c r="K92" i="26"/>
  <c r="K7" i="68"/>
  <c r="E47" i="75"/>
  <c r="N86" i="69"/>
  <c r="M7" i="65"/>
  <c r="I16" i="69"/>
  <c r="O6" i="77"/>
  <c r="N33" i="47"/>
  <c r="L34" i="80"/>
  <c r="H6" i="92"/>
  <c r="N100" i="47"/>
  <c r="E20" i="85"/>
  <c r="J21" i="63"/>
  <c r="J42" i="46"/>
  <c r="E68" i="91"/>
  <c r="D100" i="56"/>
  <c r="J83" i="93"/>
  <c r="N83" i="74"/>
  <c r="F92" i="36"/>
  <c r="F46" i="92"/>
  <c r="N97" i="73"/>
  <c r="G54" i="83"/>
  <c r="N70" i="49"/>
  <c r="G68" i="41"/>
  <c r="G36" i="19"/>
  <c r="H25" i="29"/>
  <c r="E15" i="69"/>
  <c r="N58" i="39"/>
  <c r="L38" i="72"/>
  <c r="N100" i="25"/>
  <c r="D83" i="75"/>
  <c r="E48" i="93"/>
  <c r="K12" i="41"/>
  <c r="G65" i="89"/>
  <c r="M91" i="26"/>
  <c r="G17" i="86"/>
  <c r="L7" i="59"/>
  <c r="L82" i="60"/>
  <c r="F26" i="19"/>
  <c r="J70" i="57"/>
  <c r="K85" i="59"/>
  <c r="H18" i="89"/>
  <c r="K4" i="43"/>
  <c r="F80" i="38"/>
  <c r="E41" i="89"/>
  <c r="O46" i="57"/>
  <c r="G64" i="45"/>
  <c r="I32" i="66"/>
  <c r="O35" i="72"/>
  <c r="K65" i="55"/>
  <c r="D79" i="34"/>
  <c r="D46" i="83"/>
  <c r="O21" i="40"/>
  <c r="G50" i="59"/>
  <c r="M48" i="63"/>
  <c r="H50" i="85"/>
  <c r="M18" i="81"/>
  <c r="K53" i="59"/>
  <c r="J31" i="92"/>
  <c r="N54" i="73"/>
  <c r="G68" i="83"/>
  <c r="E40" i="68"/>
  <c r="L57" i="72"/>
  <c r="J57" i="30"/>
  <c r="G55" i="87"/>
  <c r="K83"/>
  <c r="G91" i="40"/>
  <c r="F48" i="39"/>
  <c r="O15" i="43"/>
  <c r="L33" i="66"/>
  <c r="J62" i="75"/>
  <c r="L58" i="27"/>
  <c r="E29" i="25"/>
  <c r="D48" i="75"/>
  <c r="D68" i="50"/>
  <c r="G77" i="63"/>
  <c r="D49" i="36"/>
  <c r="G53" i="63"/>
  <c r="L56" i="43"/>
  <c r="H97" i="56"/>
  <c r="J71" i="71"/>
  <c r="E65"/>
  <c r="J83" i="40"/>
  <c r="H34" i="48"/>
  <c r="I62" i="90"/>
  <c r="N107" i="44"/>
  <c r="J71" i="30"/>
  <c r="J18" i="76"/>
  <c r="G101" i="26"/>
  <c r="J15" i="60"/>
  <c r="I19" i="86"/>
  <c r="M64" i="93"/>
  <c r="F88" i="72"/>
  <c r="J88" i="56"/>
  <c r="E52" i="50"/>
  <c r="D55" i="94"/>
  <c r="K18" i="83"/>
  <c r="K14" i="87"/>
  <c r="K103" i="56"/>
  <c r="D39" i="30"/>
  <c r="N20" i="60"/>
  <c r="L26" i="63"/>
  <c r="E27" i="71"/>
  <c r="I34" i="80"/>
  <c r="E107" i="29"/>
  <c r="O77" i="82"/>
  <c r="H22" i="86"/>
  <c r="N9" i="54"/>
  <c r="M43" i="55"/>
  <c r="N97" i="43"/>
  <c r="H28" i="46"/>
  <c r="N16" i="77"/>
  <c r="F44" i="25"/>
  <c r="G48" i="42"/>
  <c r="F49" i="83"/>
  <c r="I68" i="73"/>
  <c r="H106" i="58"/>
  <c r="I9" i="91"/>
  <c r="J16" i="56"/>
  <c r="M23" i="61"/>
  <c r="I88" i="63"/>
  <c r="O86" i="92"/>
  <c r="K91" i="63"/>
  <c r="N80" i="58"/>
  <c r="M30" i="80"/>
  <c r="D82" i="56"/>
  <c r="E36" i="39"/>
  <c r="E44" i="44"/>
  <c r="F5" i="49"/>
  <c r="O89" i="77"/>
  <c r="E49" i="41"/>
  <c r="I107" i="70"/>
  <c r="F21" i="94"/>
  <c r="E101" i="44"/>
  <c r="I11" i="80"/>
  <c r="I56" i="86"/>
  <c r="L52" i="30"/>
  <c r="N56" i="38"/>
  <c r="N30" i="59"/>
  <c r="O11" i="46"/>
  <c r="J107" i="80"/>
  <c r="J64" i="73"/>
  <c r="H13" i="32"/>
  <c r="D31" i="34"/>
  <c r="O22" i="72"/>
  <c r="H41" i="92"/>
  <c r="O55" i="66"/>
  <c r="I59" i="46"/>
  <c r="K20" i="72"/>
  <c r="H46" i="62"/>
  <c r="G48" i="39"/>
  <c r="K28" i="47"/>
  <c r="D89" i="26"/>
  <c r="D97" i="56"/>
  <c r="H49" i="27"/>
  <c r="O70" i="93"/>
  <c r="M56" i="71"/>
  <c r="L9" i="58"/>
  <c r="K80" i="59"/>
  <c r="O71" i="89"/>
  <c r="M34" i="90"/>
  <c r="O46" i="92"/>
  <c r="N70" i="62"/>
  <c r="I33"/>
  <c r="F10" i="45"/>
  <c r="G14" i="47"/>
  <c r="O94" i="70"/>
  <c r="F36" i="86"/>
  <c r="I97" i="33"/>
  <c r="N86" i="56"/>
  <c r="J80" i="93"/>
  <c r="O8" i="61"/>
  <c r="J12" i="57"/>
  <c r="M20" i="54"/>
  <c r="O92" i="45"/>
  <c r="H25" i="34"/>
  <c r="H53" i="82"/>
  <c r="J48" i="30"/>
  <c r="N45" i="54"/>
  <c r="F10" i="79"/>
  <c r="K79" i="77"/>
  <c r="K80" i="62"/>
  <c r="G12" i="19"/>
  <c r="G29" i="94"/>
  <c r="M21" i="86"/>
  <c r="D104" i="46"/>
  <c r="H71" i="56"/>
  <c r="F26" i="50"/>
  <c r="D6" i="64"/>
  <c r="N53" i="84"/>
  <c r="O80" i="86"/>
  <c r="J64" i="58"/>
  <c r="K4" i="89"/>
  <c r="E22" i="32"/>
  <c r="F32" i="74"/>
  <c r="I76" i="72"/>
  <c r="M70" i="66"/>
  <c r="O74" i="57"/>
  <c r="D107" i="63"/>
  <c r="M53" i="39"/>
  <c r="O54"/>
  <c r="M25" i="86"/>
  <c r="H41" i="73"/>
  <c r="N92" i="51"/>
  <c r="H74" i="25"/>
  <c r="M17" i="38"/>
  <c r="N7" i="47"/>
  <c r="K58" i="75"/>
  <c r="G51" i="81"/>
  <c r="G32" i="44"/>
  <c r="M49" i="76"/>
  <c r="L37" i="26"/>
  <c r="M91" i="61"/>
  <c r="K39" i="25"/>
  <c r="O86" i="27"/>
  <c r="D45" i="89"/>
  <c r="E97" i="54"/>
  <c r="D41" i="45"/>
  <c r="K54" i="43"/>
  <c r="I9" i="26"/>
  <c r="G35" i="77"/>
  <c r="I104" i="78"/>
  <c r="N7" i="61"/>
  <c r="I68" i="59"/>
  <c r="I62" i="39"/>
  <c r="I27" i="32"/>
  <c r="D52" i="64"/>
  <c r="L47" i="71"/>
  <c r="D41" i="58"/>
  <c r="O106" i="62"/>
  <c r="L107" i="80"/>
  <c r="D21" i="51"/>
  <c r="O82" i="40"/>
  <c r="M7" i="72"/>
  <c r="F98" i="44"/>
  <c r="I76" i="47"/>
  <c r="H107" i="61"/>
  <c r="F95" i="62"/>
  <c r="I100" i="85"/>
  <c r="O41" i="41"/>
  <c r="L10" i="26"/>
  <c r="L36" i="32"/>
  <c r="M21" i="71"/>
  <c r="L4" i="91"/>
  <c r="D14" i="26"/>
  <c r="H91" i="92"/>
  <c r="J89" i="33"/>
  <c r="N27" i="92"/>
  <c r="I9" i="19"/>
  <c r="O43" i="71"/>
  <c r="E45" i="87"/>
  <c r="D53" i="59"/>
  <c r="E57"/>
  <c r="O23" i="84"/>
  <c r="J14" i="63"/>
  <c r="F31" i="46"/>
  <c r="F80" i="53"/>
  <c r="N88" i="39"/>
  <c r="I11" i="41"/>
  <c r="F44" i="69"/>
  <c r="D23" i="29"/>
  <c r="J40" i="47"/>
  <c r="G30" i="52"/>
  <c r="N37" i="62"/>
  <c r="F92" i="53"/>
  <c r="J54" i="49"/>
  <c r="I28" i="58"/>
  <c r="F94" i="78"/>
  <c r="H88" i="53"/>
  <c r="L33" i="54"/>
  <c r="E28" i="91"/>
  <c r="E50" i="48"/>
  <c r="N56" i="59"/>
  <c r="H41" i="47"/>
  <c r="N54" i="89"/>
  <c r="M10" i="65"/>
  <c r="I67" i="93"/>
  <c r="N83" i="84"/>
  <c r="E23" i="90"/>
  <c r="H44" i="71"/>
  <c r="D37" i="26"/>
  <c r="I70" i="68"/>
  <c r="F103" i="72"/>
  <c r="F77" i="71"/>
  <c r="M23" i="92"/>
  <c r="I52" i="94"/>
  <c r="L23" i="35"/>
  <c r="D43" i="84"/>
  <c r="D47" i="54"/>
  <c r="H17" i="52"/>
  <c r="I7" i="56"/>
  <c r="D76" i="60"/>
  <c r="J27" i="61"/>
  <c r="N71" i="40"/>
  <c r="G28" i="67"/>
  <c r="H12" i="53"/>
  <c r="L101" i="64"/>
  <c r="G67" i="45"/>
  <c r="I50" i="46"/>
  <c r="I46" i="36"/>
  <c r="K106" i="40"/>
  <c r="F65" i="64"/>
  <c r="M44" i="92"/>
  <c r="O56" i="51"/>
  <c r="K44" i="57"/>
  <c r="I51" i="30"/>
  <c r="L25" i="43"/>
  <c r="E39" i="75"/>
  <c r="M17" i="51"/>
  <c r="O86" i="45"/>
  <c r="J106" i="87"/>
  <c r="H92" i="79"/>
  <c r="O26" i="36"/>
  <c r="O51" i="83"/>
  <c r="E41" i="90"/>
  <c r="G88" i="33"/>
  <c r="E38"/>
  <c r="K94" i="67"/>
  <c r="K37" i="58"/>
  <c r="O97" i="62"/>
  <c r="L45" i="76"/>
  <c r="G71" i="44"/>
  <c r="D52" i="42"/>
  <c r="L47" i="30"/>
  <c r="H28" i="71"/>
  <c r="H46" i="80"/>
  <c r="F83" i="75"/>
  <c r="J4" i="43"/>
  <c r="O73" i="33"/>
  <c r="H55" i="27"/>
  <c r="D71" i="79"/>
  <c r="M37" i="65"/>
  <c r="M31"/>
  <c r="J47" i="58"/>
  <c r="N33" i="45"/>
  <c r="L23" i="94"/>
  <c r="D32" i="66"/>
  <c r="I101" i="68"/>
  <c r="E44" i="53"/>
  <c r="D15" i="70"/>
  <c r="I9" i="81"/>
  <c r="L19" i="93"/>
  <c r="I34" i="84"/>
  <c r="N10" i="49"/>
  <c r="I15" i="50"/>
  <c r="O5" i="45"/>
  <c r="K61" i="89"/>
  <c r="J8" i="83"/>
  <c r="E14" i="32"/>
  <c r="E67" i="50"/>
  <c r="E21" i="30"/>
  <c r="G41" i="49"/>
  <c r="J62" i="91"/>
  <c r="O20" i="49"/>
  <c r="E65" i="36"/>
  <c r="E54" i="27"/>
  <c r="K104" i="71"/>
  <c r="I36" i="68"/>
  <c r="H33" i="66"/>
  <c r="D44" i="92"/>
  <c r="J82" i="83"/>
  <c r="K39" i="38"/>
  <c r="I33" i="52"/>
  <c r="H101" i="39"/>
  <c r="N37" i="74"/>
  <c r="D36"/>
  <c r="D79" i="29"/>
  <c r="F57" i="78"/>
  <c r="L29" i="53"/>
  <c r="G9" i="51"/>
  <c r="M107" i="92"/>
  <c r="N34" i="74"/>
  <c r="G6" i="85"/>
  <c r="H18"/>
  <c r="O41" i="66"/>
  <c r="J30" i="71"/>
  <c r="O39" i="81"/>
  <c r="H57" i="55"/>
  <c r="E22" i="86"/>
  <c r="L9" i="19"/>
  <c r="L15" i="64"/>
  <c r="H70" i="59"/>
  <c r="L104" i="26"/>
  <c r="F21" i="68"/>
  <c r="J57" i="73"/>
  <c r="O101" i="49"/>
  <c r="G26" i="66"/>
  <c r="I12" i="29"/>
  <c r="H29" i="89"/>
  <c r="O53" i="61"/>
  <c r="G67" i="93"/>
  <c r="D44" i="86"/>
  <c r="O24" i="93"/>
  <c r="O91" i="66"/>
  <c r="G6" i="64"/>
  <c r="J54" i="63"/>
  <c r="J36" i="94"/>
  <c r="J46" i="71"/>
  <c r="F92" i="84"/>
  <c r="O62" i="78"/>
  <c r="M50" i="45"/>
  <c r="I11" i="92"/>
  <c r="I33"/>
  <c r="F73" i="36"/>
  <c r="F27" i="61"/>
  <c r="I4" i="73"/>
  <c r="J17" i="47"/>
  <c r="G22" i="71"/>
  <c r="N98" i="58"/>
  <c r="H67" i="35"/>
  <c r="K24" i="83"/>
  <c r="K35" i="76"/>
  <c r="O58" i="54"/>
  <c r="L97" i="61"/>
  <c r="G77" i="43"/>
  <c r="G18" i="84"/>
  <c r="L67" i="34"/>
  <c r="D28" i="57"/>
  <c r="E5" i="94"/>
  <c r="N41" i="74"/>
  <c r="O36" i="29"/>
  <c r="G82" i="44"/>
  <c r="O32"/>
  <c r="O89" i="58"/>
  <c r="I8" i="26"/>
  <c r="H64" i="55"/>
  <c r="D39" i="61"/>
  <c r="D24" i="26"/>
  <c r="N98" i="94"/>
  <c r="N24" i="44"/>
  <c r="K106" i="27"/>
  <c r="E74" i="38"/>
  <c r="G49" i="56"/>
  <c r="M68" i="39"/>
  <c r="J24" i="61"/>
  <c r="F79" i="65"/>
  <c r="G31" i="51"/>
  <c r="E10" i="25"/>
  <c r="I23" i="89"/>
  <c r="D23" i="25"/>
  <c r="I24" i="91"/>
  <c r="F19" i="34"/>
  <c r="N45" i="55"/>
  <c r="M52" i="27"/>
  <c r="L54" i="86"/>
  <c r="L24" i="38"/>
  <c r="N53" i="46"/>
  <c r="I103" i="57"/>
  <c r="J73" i="66"/>
  <c r="J65" i="71"/>
  <c r="O54" i="89"/>
  <c r="F30" i="84"/>
  <c r="N106" i="35"/>
  <c r="E32" i="50"/>
  <c r="O71" i="25"/>
  <c r="H8" i="34"/>
  <c r="I94" i="66"/>
  <c r="I89" i="65"/>
  <c r="G36" i="63"/>
  <c r="I58" i="94"/>
  <c r="N28" i="65"/>
  <c r="H31" i="29"/>
  <c r="J24" i="39"/>
  <c r="D65" i="80"/>
  <c r="M65" i="61"/>
  <c r="O7" i="41"/>
  <c r="L71" i="55"/>
  <c r="N85" i="82"/>
  <c r="I80" i="50"/>
  <c r="H103" i="29"/>
  <c r="L30" i="72"/>
  <c r="I92" i="59"/>
  <c r="G89" i="55"/>
  <c r="F5" i="46"/>
  <c r="I47" i="87"/>
  <c r="L18" i="86"/>
  <c r="D100" i="39"/>
  <c r="K49" i="72"/>
  <c r="K74" i="26"/>
  <c r="I27" i="49"/>
  <c r="F82" i="68"/>
  <c r="F19" i="41"/>
  <c r="N46" i="70"/>
  <c r="F95" i="59"/>
  <c r="H50" i="53"/>
  <c r="M74" i="25"/>
  <c r="H12" i="76"/>
  <c r="J47" i="50"/>
  <c r="I106" i="73"/>
  <c r="E73" i="93"/>
  <c r="E57" i="40"/>
  <c r="J42" i="57"/>
  <c r="H62" i="48"/>
  <c r="O14" i="56"/>
  <c r="N11" i="49"/>
  <c r="K50" i="19"/>
  <c r="O91" i="48"/>
  <c r="J9" i="26"/>
  <c r="F27" i="80"/>
  <c r="J19" i="27"/>
  <c r="J44" i="83"/>
  <c r="E45" i="38"/>
  <c r="E62" i="79"/>
  <c r="E80" i="34"/>
  <c r="N68" i="53"/>
  <c r="L10" i="29"/>
  <c r="D39" i="78"/>
  <c r="H53" i="33"/>
  <c r="I27" i="90"/>
  <c r="G20" i="27"/>
  <c r="D23" i="40"/>
  <c r="K71" i="54"/>
  <c r="L58" i="87"/>
  <c r="I10" i="76"/>
  <c r="G62" i="77"/>
  <c r="M92" i="69"/>
  <c r="F106" i="93"/>
  <c r="E91" i="70"/>
  <c r="D14"/>
  <c r="L76" i="51"/>
  <c r="L86" i="55"/>
  <c r="O74" i="69"/>
  <c r="L71" i="67"/>
  <c r="H107" i="52"/>
  <c r="D53" i="29"/>
  <c r="M50" i="91"/>
  <c r="K37" i="26"/>
  <c r="N76" i="62"/>
  <c r="F58" i="27"/>
  <c r="O103" i="39"/>
  <c r="K32" i="82"/>
  <c r="K13" i="83"/>
  <c r="M47" i="69"/>
  <c r="J18" i="93"/>
  <c r="H15" i="26"/>
  <c r="E73" i="25"/>
  <c r="M85" i="84"/>
  <c r="D26" i="89"/>
  <c r="F12"/>
  <c r="O42" i="46"/>
  <c r="M89" i="40"/>
  <c r="K9" i="57"/>
  <c r="M73" i="25"/>
  <c r="F15" i="85"/>
  <c r="F49" i="44"/>
  <c r="O95" i="19"/>
  <c r="G59" i="83"/>
  <c r="L54" i="27"/>
  <c r="K43" i="87"/>
  <c r="M9" i="39"/>
  <c r="I71" i="76"/>
  <c r="G5" i="19"/>
  <c r="K47" i="83"/>
  <c r="L65" i="30"/>
  <c r="G51" i="90"/>
  <c r="L36" i="67"/>
  <c r="F92" i="59"/>
  <c r="O64" i="77"/>
  <c r="D71" i="90"/>
  <c r="H53" i="61"/>
  <c r="L14" i="96"/>
  <c r="K56" i="70"/>
  <c r="M97" i="19"/>
  <c r="M56" i="77"/>
  <c r="G28" i="30"/>
  <c r="N24" i="32"/>
  <c r="J95" i="47"/>
  <c r="N55" i="38"/>
  <c r="L83" i="71"/>
  <c r="L14" i="36"/>
  <c r="I65" i="44"/>
  <c r="G22" i="26"/>
  <c r="M5" i="70"/>
  <c r="G89" i="79"/>
  <c r="M98" i="93"/>
  <c r="E30" i="26"/>
  <c r="K26" i="36"/>
  <c r="J103" i="78"/>
  <c r="L68" i="64"/>
  <c r="K9" i="55"/>
  <c r="L76" i="71"/>
  <c r="J95" i="78"/>
  <c r="I33" i="25"/>
  <c r="O48" i="71"/>
  <c r="K104" i="66"/>
  <c r="O4" i="74"/>
  <c r="L85" i="53"/>
  <c r="L40" i="51"/>
  <c r="O5" i="27"/>
  <c r="N64" i="26"/>
  <c r="J89" i="68"/>
  <c r="N40" i="51"/>
  <c r="M6" i="61"/>
  <c r="O20" i="26"/>
  <c r="O47" i="63"/>
  <c r="I101" i="45"/>
  <c r="M89" i="66"/>
  <c r="L23" i="44"/>
  <c r="M44" i="32"/>
  <c r="O49" i="55"/>
  <c r="K30" i="54"/>
  <c r="J36" i="93"/>
  <c r="N47" i="72"/>
  <c r="L28" i="87"/>
  <c r="D31" i="69"/>
  <c r="F33" i="52"/>
  <c r="H79" i="25"/>
  <c r="J64" i="63"/>
  <c r="F73" i="67"/>
  <c r="F7" i="85"/>
  <c r="J16" i="65"/>
  <c r="F58" i="26"/>
  <c r="I48" i="27"/>
  <c r="E62"/>
  <c r="L35" i="74"/>
  <c r="N97" i="32"/>
  <c r="E8" i="86"/>
  <c r="E76" i="49"/>
  <c r="E101" i="48"/>
  <c r="K37" i="75"/>
  <c r="G85" i="84"/>
  <c r="K18" i="46"/>
  <c r="F48" i="69"/>
  <c r="F65" i="50"/>
  <c r="M85" i="55"/>
  <c r="N14" i="71"/>
  <c r="L24" i="90"/>
  <c r="D38" i="93"/>
  <c r="K20" i="38"/>
  <c r="J62" i="57"/>
  <c r="K82" i="82"/>
  <c r="F39" i="50"/>
  <c r="J62" i="46"/>
  <c r="N73" i="51"/>
  <c r="N94" i="58"/>
  <c r="H34" i="79"/>
  <c r="E51" i="47"/>
  <c r="K37" i="92"/>
  <c r="N18" i="27"/>
  <c r="L85" i="49"/>
  <c r="L82" i="80"/>
  <c r="G42" i="73"/>
  <c r="E39" i="93"/>
  <c r="J39" i="62"/>
  <c r="L15" i="93"/>
  <c r="H57" i="59"/>
  <c r="E64" i="27"/>
  <c r="H70" i="56"/>
  <c r="K30" i="84"/>
  <c r="K40" i="68"/>
  <c r="G25" i="55"/>
  <c r="G4" i="63"/>
  <c r="E62" i="67"/>
  <c r="L73" i="76"/>
  <c r="H79" i="94"/>
  <c r="L18" i="26"/>
  <c r="J29" i="80"/>
  <c r="H92" i="69"/>
  <c r="O74" i="90"/>
  <c r="M24" i="53"/>
  <c r="D5" i="51"/>
  <c r="K76" i="81"/>
  <c r="L42" i="38"/>
  <c r="N86" i="45"/>
  <c r="I54" i="84"/>
  <c r="F21" i="57"/>
  <c r="E41" i="82"/>
  <c r="G65" i="65"/>
  <c r="E26" i="35"/>
  <c r="I88" i="32"/>
  <c r="O77" i="43"/>
  <c r="F53" i="91"/>
  <c r="E48" i="57"/>
  <c r="O20" i="51"/>
  <c r="L107" i="61"/>
  <c r="J35" i="64"/>
  <c r="F58" i="54"/>
  <c r="D94" i="61"/>
  <c r="O27" i="74"/>
  <c r="D45" i="83"/>
  <c r="G27" i="53"/>
  <c r="E32" i="40"/>
  <c r="D56" i="76"/>
  <c r="M51" i="65"/>
  <c r="O13" i="61"/>
  <c r="G55" i="51"/>
  <c r="O101" i="41"/>
  <c r="H6" i="44"/>
  <c r="M28" i="39"/>
  <c r="E104" i="69"/>
  <c r="H26" i="78"/>
  <c r="E29" i="55"/>
  <c r="I97" i="44"/>
  <c r="H38" i="69"/>
  <c r="I54" i="74"/>
  <c r="O22" i="43"/>
  <c r="D5" i="38"/>
  <c r="G40" i="25"/>
  <c r="E13" i="48"/>
  <c r="E54" i="82"/>
  <c r="M95" i="57"/>
  <c r="G71" i="84"/>
  <c r="N19" i="87"/>
  <c r="E16" i="29"/>
  <c r="E18" i="67"/>
  <c r="I20" i="61"/>
  <c r="G56" i="77"/>
  <c r="G34" i="56"/>
  <c r="O83"/>
  <c r="O25" i="41"/>
  <c r="J15" i="27"/>
  <c r="L35" i="48"/>
  <c r="E33" i="75"/>
  <c r="J50"/>
  <c r="H24" i="89"/>
  <c r="M79" i="68"/>
  <c r="N26" i="43"/>
  <c r="L71" i="30"/>
  <c r="M95" i="46"/>
  <c r="I55" i="73"/>
  <c r="K95" i="35"/>
  <c r="E14" i="30"/>
  <c r="J59" i="87"/>
  <c r="K38" i="53"/>
  <c r="L41" i="75"/>
  <c r="D86" i="48"/>
  <c r="O91" i="25"/>
  <c r="N9" i="74"/>
  <c r="M91" i="36"/>
  <c r="G107" i="93"/>
  <c r="H70" i="25"/>
  <c r="G65" i="70"/>
  <c r="E15" i="26"/>
  <c r="M59" i="69"/>
  <c r="L29" i="82"/>
  <c r="G14" i="90"/>
  <c r="L25" i="54"/>
  <c r="M83" i="72"/>
  <c r="F21" i="49"/>
  <c r="I35" i="60"/>
  <c r="M30" i="67"/>
  <c r="J33" i="53"/>
  <c r="K47" i="86"/>
  <c r="M31" i="48"/>
  <c r="D16" i="45"/>
  <c r="M20" i="35"/>
  <c r="N30" i="33"/>
  <c r="N49" i="66"/>
  <c r="H73" i="51"/>
  <c r="H67" i="44"/>
  <c r="M18" i="75"/>
  <c r="F104" i="35"/>
  <c r="F64" i="52"/>
  <c r="O61" i="39"/>
  <c r="K25" i="86"/>
  <c r="H53" i="36"/>
  <c r="J43" i="27"/>
  <c r="E62" i="68"/>
  <c r="L28" i="54"/>
  <c r="K10" i="59"/>
  <c r="N107" i="34"/>
  <c r="N24" i="80"/>
  <c r="I47" i="38"/>
  <c r="G82" i="63"/>
  <c r="D13" i="67"/>
  <c r="D95" i="49"/>
  <c r="D56" i="39"/>
  <c r="I40" i="74"/>
  <c r="D6" i="55"/>
  <c r="D85" i="70"/>
  <c r="D95" i="89"/>
  <c r="I31" i="64"/>
  <c r="E42" i="38"/>
  <c r="O85" i="47"/>
  <c r="J15" i="41"/>
  <c r="K20" i="86"/>
  <c r="J40" i="32"/>
  <c r="H11" i="44"/>
  <c r="F91" i="64"/>
  <c r="F18" i="43"/>
  <c r="E11" i="40"/>
  <c r="H100" i="61"/>
  <c r="J100" i="19"/>
  <c r="E8" i="81"/>
  <c r="N59" i="84"/>
  <c r="I17" i="56"/>
  <c r="L104" i="77"/>
  <c r="K35" i="33"/>
  <c r="D74" i="77"/>
  <c r="I28" i="43"/>
  <c r="E38" i="32"/>
  <c r="E54" i="49"/>
  <c r="D39" i="43"/>
  <c r="I13" i="90"/>
  <c r="F51" i="91"/>
  <c r="I21" i="87"/>
  <c r="I9" i="41"/>
  <c r="K32" i="33"/>
  <c r="K48" i="63"/>
  <c r="D100" i="43"/>
  <c r="J42" i="62"/>
  <c r="M67" i="72"/>
  <c r="K41" i="69"/>
  <c r="L103" i="70"/>
  <c r="G73" i="57"/>
  <c r="E107" i="70"/>
  <c r="O23" i="30"/>
  <c r="M58" i="62"/>
  <c r="L97" i="67"/>
  <c r="N20" i="89"/>
  <c r="K92" i="68"/>
  <c r="J80" i="81"/>
  <c r="F13" i="44"/>
  <c r="D5" i="25"/>
  <c r="J45" i="64"/>
  <c r="F32" i="49"/>
  <c r="I27" i="84"/>
  <c r="O64" i="81"/>
  <c r="K73" i="57"/>
  <c r="E18" i="43"/>
  <c r="I104" i="41"/>
  <c r="L21" i="82"/>
  <c r="D17" i="43"/>
  <c r="K76" i="86"/>
  <c r="M16" i="36"/>
  <c r="N36" i="63"/>
  <c r="O10" i="25"/>
  <c r="F107" i="62"/>
  <c r="L68" i="47"/>
  <c r="G20" i="81"/>
  <c r="H43" i="27"/>
  <c r="N47" i="67"/>
  <c r="N107" i="77"/>
  <c r="O98" i="69"/>
  <c r="M47" i="44"/>
  <c r="H76" i="34"/>
  <c r="E71" i="27"/>
  <c r="J28" i="94"/>
  <c r="I19" i="65"/>
  <c r="H26" i="67"/>
  <c r="H82" i="62"/>
  <c r="M32" i="70"/>
  <c r="N67" i="84"/>
  <c r="E44" i="81"/>
  <c r="N4" i="94"/>
  <c r="D100" i="66"/>
  <c r="D107" i="49"/>
  <c r="J34" i="61"/>
  <c r="H6" i="43"/>
  <c r="O55" i="33"/>
  <c r="M39" i="71"/>
  <c r="N59" i="67"/>
  <c r="M80" i="75"/>
  <c r="F51" i="54"/>
  <c r="H53" i="65"/>
  <c r="L91" i="33"/>
  <c r="E68" i="29"/>
  <c r="O71" i="72"/>
  <c r="K74" i="81"/>
  <c r="N64" i="54"/>
  <c r="M49"/>
  <c r="O8" i="34"/>
  <c r="K4" i="83"/>
  <c r="N106" i="81"/>
  <c r="I24" i="57"/>
  <c r="K16" i="58"/>
  <c r="N100" i="84"/>
  <c r="E37" i="87"/>
  <c r="H70" i="80"/>
  <c r="F5"/>
  <c r="N16" i="91"/>
  <c r="K97" i="87"/>
  <c r="I47" i="77"/>
  <c r="M33" i="39"/>
  <c r="I45" i="34"/>
  <c r="J79" i="19"/>
  <c r="M80" i="55"/>
  <c r="D32" i="77"/>
  <c r="L39" i="32"/>
  <c r="N58" i="25"/>
  <c r="H19" i="43"/>
  <c r="L41" i="83"/>
  <c r="L103" i="81"/>
  <c r="M74" i="83"/>
  <c r="E19" i="30"/>
  <c r="L104" i="29"/>
  <c r="L7" i="47"/>
  <c r="D56" i="40"/>
  <c r="E29" i="44"/>
  <c r="I107" i="45"/>
  <c r="D44" i="79"/>
  <c r="K88" i="48"/>
  <c r="M29" i="89"/>
  <c r="J70" i="56"/>
  <c r="O79" i="83"/>
  <c r="G68" i="75"/>
  <c r="D44" i="36"/>
  <c r="H88" i="76"/>
  <c r="G67" i="71"/>
  <c r="K47" i="54"/>
  <c r="J46" i="66"/>
  <c r="I57" i="70"/>
  <c r="I70" i="48"/>
  <c r="L107" i="76"/>
  <c r="E104" i="50"/>
  <c r="N38" i="91"/>
  <c r="L54" i="43"/>
  <c r="F86" i="30"/>
  <c r="K21" i="51"/>
  <c r="G25" i="35"/>
  <c r="N85" i="67"/>
  <c r="K8" i="36"/>
  <c r="J11" i="51"/>
  <c r="J23" i="39"/>
  <c r="N74" i="54"/>
  <c r="F43" i="44"/>
  <c r="I106" i="46"/>
  <c r="N36" i="61"/>
  <c r="O12" i="46"/>
  <c r="J85" i="34"/>
  <c r="K50" i="92"/>
  <c r="L17" i="58"/>
  <c r="E8" i="59"/>
  <c r="G54" i="80"/>
  <c r="H97" i="63"/>
  <c r="E4" i="32"/>
  <c r="K68" i="68"/>
  <c r="G10" i="76"/>
  <c r="O97" i="68"/>
  <c r="O29" i="67"/>
  <c r="G36" i="79"/>
  <c r="I14" i="71"/>
  <c r="L55" i="91"/>
  <c r="O55" i="36"/>
  <c r="H86" i="65"/>
  <c r="O10" i="29"/>
  <c r="H8" i="91"/>
  <c r="L68" i="41"/>
  <c r="J21" i="51"/>
  <c r="F26" i="70"/>
  <c r="F30" i="49"/>
  <c r="J54" i="57"/>
  <c r="F95" i="55"/>
  <c r="M34" i="30"/>
  <c r="G13" i="86"/>
  <c r="I5" i="57"/>
  <c r="L8" i="34"/>
  <c r="K17" i="78"/>
  <c r="K41" i="74"/>
  <c r="G67" i="30"/>
  <c r="F86" i="27"/>
  <c r="G8" i="55"/>
  <c r="F13" i="94"/>
  <c r="L34" i="69"/>
  <c r="H10" i="74"/>
  <c r="F13" i="27"/>
  <c r="I80"/>
  <c r="O16" i="68"/>
  <c r="F74" i="42"/>
  <c r="J58" i="61"/>
  <c r="F40" i="27"/>
  <c r="K42" i="67"/>
  <c r="I85" i="65"/>
  <c r="N36" i="66"/>
  <c r="I5" i="25"/>
  <c r="H47" i="52"/>
  <c r="F31" i="36"/>
  <c r="H16" i="33"/>
  <c r="N83" i="77"/>
  <c r="F76" i="92"/>
  <c r="N107" i="90"/>
  <c r="F11" i="78"/>
  <c r="E23" i="27"/>
  <c r="O83" i="72"/>
  <c r="O104" i="47"/>
  <c r="N97" i="48"/>
  <c r="L47" i="69"/>
  <c r="N26" i="86"/>
  <c r="L77" i="27"/>
  <c r="H106" i="45"/>
  <c r="H6" i="26"/>
  <c r="E91" i="29"/>
  <c r="F13" i="83"/>
  <c r="H55" i="29"/>
  <c r="K101" i="84"/>
  <c r="O4" i="19"/>
  <c r="E7" i="35"/>
  <c r="K82" i="86"/>
  <c r="J19" i="76"/>
  <c r="M91" i="59"/>
  <c r="J28" i="91"/>
  <c r="L104" i="34"/>
  <c r="L85" i="61"/>
  <c r="L37" i="48"/>
  <c r="G44" i="81"/>
  <c r="E55" i="49"/>
  <c r="L40" i="35"/>
  <c r="L54" i="45"/>
  <c r="G21" i="76"/>
  <c r="K45" i="87"/>
  <c r="E8" i="26"/>
  <c r="H22" i="51"/>
  <c r="F98" i="72"/>
  <c r="L48" i="75"/>
  <c r="D58" i="53"/>
  <c r="M52" i="78"/>
  <c r="N38" i="70"/>
  <c r="I12" i="33"/>
  <c r="L44" i="92"/>
  <c r="N25" i="54"/>
  <c r="G13" i="46"/>
  <c r="J11" i="59"/>
  <c r="H97" i="86"/>
  <c r="N95" i="53"/>
  <c r="D21" i="92"/>
  <c r="F26" i="56"/>
  <c r="K20" i="73"/>
  <c r="I50" i="85"/>
  <c r="I49" i="55"/>
  <c r="K51" i="73"/>
  <c r="F92" i="40"/>
  <c r="M50" i="26"/>
  <c r="F48" i="62"/>
  <c r="H39" i="33"/>
  <c r="I86"/>
  <c r="J106" i="45"/>
  <c r="I50" i="44"/>
  <c r="L57" i="91"/>
  <c r="F19" i="48"/>
  <c r="H52" i="53"/>
  <c r="I49" i="92"/>
  <c r="D21" i="48"/>
  <c r="O32" i="56"/>
  <c r="H46" i="33"/>
  <c r="D83" i="70"/>
  <c r="E52" i="27"/>
  <c r="G41" i="83"/>
  <c r="I73" i="56"/>
  <c r="M30" i="43"/>
  <c r="M101" i="86"/>
  <c r="F7" i="73"/>
  <c r="H43" i="53"/>
  <c r="O13" i="32"/>
  <c r="L52" i="75"/>
  <c r="J68" i="36"/>
  <c r="G68" i="82"/>
  <c r="D29" i="66"/>
  <c r="H83" i="46"/>
  <c r="I91" i="78"/>
  <c r="E29" i="86"/>
  <c r="J88" i="73"/>
  <c r="O79" i="77"/>
  <c r="H91" i="68"/>
  <c r="L49" i="93"/>
  <c r="E100" i="77"/>
  <c r="O43" i="27"/>
  <c r="M32" i="48"/>
  <c r="D5" i="19"/>
  <c r="D25" i="74"/>
  <c r="H68" i="57"/>
  <c r="L15" i="43"/>
  <c r="O27" i="55"/>
  <c r="M76" i="76"/>
  <c r="H73" i="72"/>
  <c r="D31" i="89"/>
  <c r="J64" i="34"/>
  <c r="K9" i="45"/>
  <c r="K50" i="91"/>
  <c r="J14" i="72"/>
  <c r="O71" i="32"/>
  <c r="G103" i="63"/>
  <c r="E76" i="71"/>
  <c r="G62" i="39"/>
  <c r="G45" i="74"/>
  <c r="K100" i="86"/>
  <c r="O31" i="44"/>
  <c r="G44" i="74"/>
  <c r="G91" i="43"/>
  <c r="E52" i="93"/>
  <c r="O82" i="73"/>
  <c r="N73" i="92"/>
  <c r="J64" i="48"/>
  <c r="L12" i="44"/>
  <c r="G29" i="39"/>
  <c r="O10" i="46"/>
  <c r="E89" i="64"/>
  <c r="H106" i="81"/>
  <c r="J16" i="89"/>
  <c r="D76" i="65"/>
  <c r="F76" i="81"/>
  <c r="O52" i="26"/>
  <c r="G26" i="78"/>
  <c r="K10" i="43"/>
  <c r="J61" i="86"/>
  <c r="G83" i="19"/>
  <c r="F39" i="84"/>
  <c r="F58" i="94"/>
  <c r="I46" i="93"/>
  <c r="N88" i="68"/>
  <c r="N20" i="63"/>
  <c r="I32" i="83"/>
  <c r="K70" i="61"/>
  <c r="H23" i="63"/>
  <c r="N51" i="69"/>
  <c r="I101" i="67"/>
  <c r="N56" i="48"/>
  <c r="N38" i="55"/>
  <c r="L20" i="65"/>
  <c r="E97" i="64"/>
  <c r="G107" i="84"/>
  <c r="N37" i="82"/>
  <c r="L23" i="58"/>
  <c r="D11" i="33"/>
  <c r="H64" i="43"/>
  <c r="L67" i="48"/>
  <c r="M49" i="94"/>
  <c r="G35" i="45"/>
  <c r="G80" i="32"/>
  <c r="H49" i="67"/>
  <c r="K13" i="46"/>
  <c r="L77" i="67"/>
  <c r="O57" i="68"/>
  <c r="M5" i="57"/>
  <c r="J37" i="75"/>
  <c r="L57" i="54"/>
  <c r="L18" i="80"/>
  <c r="D58" i="93"/>
  <c r="I100" i="45"/>
  <c r="K20" i="94"/>
  <c r="I19" i="70"/>
  <c r="F76" i="19"/>
  <c r="L31" i="27"/>
  <c r="J106" i="46"/>
  <c r="M32" i="25"/>
  <c r="H85" i="35"/>
  <c r="O29" i="90"/>
  <c r="K39" i="53"/>
  <c r="O5" i="89"/>
  <c r="J39" i="58"/>
  <c r="H36" i="49"/>
  <c r="J31" i="36"/>
  <c r="H20" i="53"/>
  <c r="N23" i="46"/>
  <c r="I56" i="71"/>
  <c r="F100" i="94"/>
  <c r="E46" i="77"/>
  <c r="G73" i="66"/>
  <c r="F98" i="33"/>
  <c r="H88" i="75"/>
  <c r="I4" i="45"/>
  <c r="E88" i="27"/>
  <c r="E74" i="70"/>
  <c r="K24" i="72"/>
  <c r="M86" i="53"/>
  <c r="N17" i="81"/>
  <c r="O7" i="19"/>
  <c r="G95" i="40"/>
  <c r="O82" i="80"/>
  <c r="J95" i="45"/>
  <c r="E24" i="53"/>
  <c r="I25" i="83"/>
  <c r="L79" i="26"/>
  <c r="D83" i="59"/>
  <c r="K89" i="41"/>
  <c r="G97" i="75"/>
  <c r="E17" i="40"/>
  <c r="M91" i="38"/>
  <c r="L5" i="74"/>
  <c r="M58" i="78"/>
  <c r="O28" i="64"/>
  <c r="I70" i="32"/>
  <c r="N74" i="77"/>
  <c r="L30" i="41"/>
  <c r="L103" i="34"/>
  <c r="F43" i="63"/>
  <c r="N13" i="76"/>
  <c r="I23" i="59"/>
  <c r="E68" i="54"/>
  <c r="O82" i="81"/>
  <c r="J21" i="43"/>
  <c r="E58" i="34"/>
  <c r="M83" i="54"/>
  <c r="O19" i="29"/>
  <c r="L41" i="87"/>
  <c r="E41" i="85"/>
  <c r="J41" i="74"/>
  <c r="M44" i="36"/>
  <c r="I53" i="67"/>
  <c r="L42" i="61"/>
  <c r="G33" i="47"/>
  <c r="H91" i="89"/>
  <c r="N16" i="54"/>
  <c r="K71" i="43"/>
  <c r="L10" i="80"/>
  <c r="I83" i="36"/>
  <c r="L64" i="71"/>
  <c r="J27" i="81"/>
  <c r="G79" i="27"/>
  <c r="D57" i="49"/>
  <c r="F41" i="57"/>
  <c r="O36" i="44"/>
  <c r="E74" i="43"/>
  <c r="M76" i="90"/>
  <c r="E103" i="60"/>
  <c r="I8" i="83"/>
  <c r="D11" i="50"/>
  <c r="I59" i="43"/>
  <c r="H49" i="46"/>
  <c r="I37" i="72"/>
  <c r="O57" i="57"/>
  <c r="N23" i="83"/>
  <c r="N71" i="55"/>
  <c r="F59" i="61"/>
  <c r="F106" i="87"/>
  <c r="O47" i="61"/>
  <c r="L31" i="81"/>
  <c r="D25" i="90"/>
  <c r="O73" i="78"/>
  <c r="M26" i="66"/>
  <c r="O31" i="62"/>
  <c r="G65" i="57"/>
  <c r="L18" i="65"/>
  <c r="K57" i="33"/>
  <c r="E43" i="48"/>
  <c r="H37" i="55"/>
  <c r="J58" i="40"/>
  <c r="E94" i="19"/>
  <c r="F54" i="86"/>
  <c r="M26" i="90"/>
  <c r="N32" i="63"/>
  <c r="G76" i="41"/>
  <c r="E97" i="65"/>
  <c r="H59" i="68"/>
  <c r="K9" i="61"/>
  <c r="H55" i="62"/>
  <c r="H70" i="53"/>
  <c r="N92" i="57"/>
  <c r="O77" i="76"/>
  <c r="F106" i="57"/>
  <c r="N80" i="27"/>
  <c r="F92" i="93"/>
  <c r="L27" i="40"/>
  <c r="H89" i="33"/>
  <c r="N88" i="44"/>
  <c r="D35" i="76"/>
  <c r="H77" i="91"/>
  <c r="N88" i="84"/>
  <c r="D39" i="68"/>
  <c r="G73" i="80"/>
  <c r="L25" i="75"/>
  <c r="O45" i="41"/>
  <c r="I41" i="92"/>
  <c r="J55" i="74"/>
  <c r="J59" i="90"/>
  <c r="E22" i="74"/>
  <c r="K54" i="54"/>
  <c r="H15" i="70"/>
  <c r="G85" i="41"/>
  <c r="G16" i="78"/>
  <c r="D21" i="38"/>
  <c r="L61" i="29"/>
  <c r="H44" i="65"/>
  <c r="O45" i="19"/>
  <c r="N61" i="73"/>
  <c r="G89" i="92"/>
  <c r="H74" i="57"/>
  <c r="E52" i="77"/>
  <c r="I16" i="34"/>
  <c r="J76" i="68"/>
  <c r="E13" i="70"/>
  <c r="I49" i="29"/>
  <c r="J73" i="75"/>
  <c r="J29" i="55"/>
  <c r="H26" i="41"/>
  <c r="D29" i="74"/>
  <c r="D31" i="62"/>
  <c r="F27" i="30"/>
  <c r="L70" i="44"/>
  <c r="N32" i="76"/>
  <c r="D71" i="46"/>
  <c r="N28" i="63"/>
  <c r="H104" i="67"/>
  <c r="M31" i="59"/>
  <c r="N32" i="61"/>
  <c r="H51" i="89"/>
  <c r="O45" i="94"/>
  <c r="G5" i="43"/>
  <c r="G98" i="51"/>
  <c r="J48" i="26"/>
  <c r="G106" i="57"/>
  <c r="J15" i="32"/>
  <c r="K71" i="41"/>
  <c r="M58" i="58"/>
  <c r="J16" i="59"/>
  <c r="E65" i="52"/>
  <c r="G15" i="44"/>
  <c r="N48" i="64"/>
  <c r="D16" i="70"/>
  <c r="E13" i="77"/>
  <c r="K43" i="90"/>
  <c r="I35" i="47"/>
  <c r="J73" i="45"/>
  <c r="G92" i="93"/>
  <c r="E85" i="36"/>
  <c r="M61" i="60"/>
  <c r="H85" i="76"/>
  <c r="I86" i="93"/>
  <c r="F89" i="81"/>
  <c r="H29" i="33"/>
  <c r="M25" i="78"/>
  <c r="L13" i="32"/>
  <c r="I29" i="61"/>
  <c r="N107" i="65"/>
  <c r="K83" i="36"/>
  <c r="E27" i="60"/>
  <c r="O103" i="74"/>
  <c r="O95" i="58"/>
  <c r="E41" i="74"/>
  <c r="D58" i="67"/>
  <c r="G20" i="56"/>
  <c r="D5" i="49"/>
  <c r="H50" i="91"/>
  <c r="E92" i="73"/>
  <c r="O36" i="54"/>
  <c r="G51" i="74"/>
  <c r="N35" i="49"/>
  <c r="D107" i="69"/>
  <c r="J26" i="48"/>
  <c r="D51" i="86"/>
  <c r="L25" i="93"/>
  <c r="E56" i="92"/>
  <c r="H45" i="66"/>
  <c r="M85" i="57"/>
  <c r="O55" i="30"/>
  <c r="I49" i="39"/>
  <c r="F12" i="43"/>
  <c r="L97" i="92"/>
  <c r="G26" i="61"/>
  <c r="K104" i="32"/>
  <c r="G8" i="52"/>
  <c r="E28" i="68"/>
  <c r="M65" i="40"/>
  <c r="O29" i="39"/>
  <c r="H55" i="67"/>
  <c r="E70" i="68"/>
  <c r="H64" i="80"/>
  <c r="M43" i="61"/>
  <c r="D64" i="56"/>
  <c r="H104" i="19"/>
  <c r="M9" i="64"/>
  <c r="J74" i="83"/>
  <c r="K57" i="19"/>
  <c r="O33" i="64"/>
  <c r="G44"/>
  <c r="D25" i="86"/>
  <c r="I10" i="44"/>
  <c r="O4" i="77"/>
  <c r="E21" i="25"/>
  <c r="D52" i="50"/>
  <c r="I22" i="90"/>
  <c r="O56" i="74"/>
  <c r="H67" i="76"/>
  <c r="N4" i="66"/>
  <c r="H31" i="51"/>
  <c r="F106" i="33"/>
  <c r="N41" i="27"/>
  <c r="I34" i="94"/>
  <c r="L101" i="30"/>
  <c r="M41" i="86"/>
  <c r="K80" i="49"/>
  <c r="N89" i="73"/>
  <c r="G88" i="35"/>
  <c r="N33" i="39"/>
  <c r="M89" i="74"/>
  <c r="M36" i="34"/>
  <c r="F21" i="38"/>
  <c r="O4" i="62"/>
  <c r="G85" i="63"/>
  <c r="I94" i="26"/>
  <c r="E31" i="44"/>
  <c r="D73" i="64"/>
  <c r="I59" i="77"/>
  <c r="L21" i="58"/>
  <c r="K67" i="64"/>
  <c r="E40" i="48"/>
  <c r="O97" i="49"/>
  <c r="J86" i="19"/>
  <c r="N101" i="48"/>
  <c r="L41" i="78"/>
  <c r="D13" i="76"/>
  <c r="I5" i="75"/>
  <c r="D103" i="48"/>
  <c r="J32" i="87"/>
  <c r="I36" i="86"/>
  <c r="N6" i="46"/>
  <c r="N51" i="29"/>
  <c r="N103" i="65"/>
  <c r="K62" i="26"/>
  <c r="H15" i="40"/>
  <c r="M31" i="66"/>
  <c r="I61" i="73"/>
  <c r="I91" i="42"/>
  <c r="I100" i="94"/>
  <c r="H67" i="61"/>
  <c r="D83" i="49"/>
  <c r="K26" i="34"/>
  <c r="G27" i="54"/>
  <c r="L23" i="92"/>
  <c r="D18" i="47"/>
  <c r="O52" i="63"/>
  <c r="E4" i="27"/>
  <c r="L6" i="54"/>
  <c r="J15" i="29"/>
  <c r="M8" i="48"/>
  <c r="N41" i="80"/>
  <c r="H61" i="44"/>
  <c r="N30" i="41"/>
  <c r="J41" i="77"/>
  <c r="J79" i="55"/>
  <c r="G33" i="43"/>
  <c r="O76" i="56"/>
  <c r="G89" i="39"/>
  <c r="O14" i="66"/>
  <c r="F71" i="71"/>
  <c r="M27" i="81"/>
  <c r="H28" i="94"/>
  <c r="D6" i="80"/>
  <c r="M5" i="76"/>
  <c r="I20" i="94"/>
  <c r="L6" i="63"/>
  <c r="F97" i="52"/>
  <c r="I56" i="64"/>
  <c r="J76" i="93"/>
  <c r="G32" i="87"/>
  <c r="J30" i="84"/>
  <c r="D107" i="77"/>
  <c r="N25" i="66"/>
  <c r="O6" i="89"/>
  <c r="L46" i="43"/>
  <c r="M88" i="61"/>
  <c r="K59" i="60"/>
  <c r="F21" i="36"/>
  <c r="O77" i="49"/>
  <c r="I25" i="86"/>
  <c r="F9" i="66"/>
  <c r="D28" i="70"/>
  <c r="K24" i="41"/>
  <c r="G41" i="79"/>
  <c r="E58" i="75"/>
  <c r="O54" i="66"/>
  <c r="O67" i="30"/>
  <c r="L55" i="43"/>
  <c r="I47" i="29"/>
  <c r="O91" i="75"/>
  <c r="F50" i="94"/>
  <c r="L68" i="93"/>
  <c r="I79" i="64"/>
  <c r="K101" i="46"/>
  <c r="G46" i="72"/>
  <c r="E15" i="90"/>
  <c r="F41" i="32"/>
  <c r="L54" i="71"/>
  <c r="K24" i="43"/>
  <c r="L73" i="61"/>
  <c r="J32" i="53"/>
  <c r="F73" i="43"/>
  <c r="N19" i="62"/>
  <c r="F88" i="19"/>
  <c r="H50" i="68"/>
  <c r="F48" i="63"/>
  <c r="L97" i="58"/>
  <c r="G28" i="52"/>
  <c r="K77" i="54"/>
  <c r="G17" i="53"/>
  <c r="L36" i="62"/>
  <c r="D10" i="94"/>
  <c r="G17" i="45"/>
  <c r="L77" i="76"/>
  <c r="M91" i="62"/>
  <c r="G71" i="41"/>
  <c r="E36" i="48"/>
  <c r="E48" i="36"/>
  <c r="F92" i="46"/>
  <c r="M46" i="73"/>
  <c r="M91" i="64"/>
  <c r="I98" i="50"/>
  <c r="L82" i="43"/>
  <c r="G86" i="52"/>
  <c r="G62" i="70"/>
  <c r="J6" i="19"/>
  <c r="I29" i="93"/>
  <c r="L16" i="70"/>
  <c r="I45"/>
  <c r="L80" i="57"/>
  <c r="K33" i="19"/>
  <c r="M73" i="26"/>
  <c r="O44" i="60"/>
  <c r="G37" i="84"/>
  <c r="K38" i="80"/>
  <c r="L92" i="49"/>
  <c r="M57" i="80"/>
  <c r="I32" i="41"/>
  <c r="G70" i="56"/>
  <c r="N74" i="45"/>
  <c r="O79" i="30"/>
  <c r="J41" i="73"/>
  <c r="J64" i="90"/>
  <c r="N106" i="62"/>
  <c r="M5" i="32"/>
  <c r="L28" i="43"/>
  <c r="L70" i="47"/>
  <c r="H14" i="91"/>
  <c r="F25" i="45"/>
  <c r="D89" i="94"/>
  <c r="F100" i="68"/>
  <c r="J68" i="40"/>
  <c r="E36"/>
  <c r="L30" i="73"/>
  <c r="I42" i="55"/>
  <c r="G68" i="65"/>
  <c r="M6" i="70"/>
  <c r="O14" i="71"/>
  <c r="F7" i="51"/>
  <c r="G80" i="42"/>
  <c r="D20" i="56"/>
  <c r="O67" i="41"/>
  <c r="L7" i="74"/>
  <c r="J23" i="56"/>
  <c r="H85" i="49"/>
  <c r="I28" i="69"/>
  <c r="J19" i="49"/>
  <c r="N70" i="73"/>
  <c r="L47" i="45"/>
  <c r="H38" i="50"/>
  <c r="N48" i="40"/>
  <c r="L91" i="68"/>
  <c r="J52" i="47"/>
  <c r="H62" i="58"/>
  <c r="L100" i="80"/>
  <c r="F31" i="81"/>
  <c r="G76" i="62"/>
  <c r="L20" i="40"/>
  <c r="F52" i="57"/>
  <c r="G62" i="33"/>
  <c r="J27" i="47"/>
  <c r="H28" i="87"/>
  <c r="K11" i="93"/>
  <c r="F94" i="33"/>
  <c r="O91" i="76"/>
  <c r="M47" i="65"/>
  <c r="K49" i="75"/>
  <c r="K71" i="81"/>
  <c r="F27" i="92"/>
  <c r="E17" i="63"/>
  <c r="H59" i="41"/>
  <c r="D88" i="52"/>
  <c r="M95" i="32"/>
  <c r="D92" i="38"/>
  <c r="G15" i="82"/>
  <c r="J80" i="53"/>
  <c r="F35" i="86"/>
  <c r="H29" i="34"/>
  <c r="L41" i="35"/>
  <c r="O65" i="89"/>
  <c r="N97" i="47"/>
  <c r="J28" i="46"/>
  <c r="H98" i="90"/>
  <c r="K47" i="49"/>
  <c r="M25" i="72"/>
  <c r="I73" i="77"/>
  <c r="I50" i="38"/>
  <c r="N98" i="65"/>
  <c r="F103" i="71"/>
  <c r="E4" i="52"/>
  <c r="M86" i="69"/>
  <c r="O11" i="82"/>
  <c r="D92" i="47"/>
  <c r="N67" i="80"/>
  <c r="O94" i="93"/>
  <c r="L9" i="71"/>
  <c r="O25" i="94"/>
  <c r="G7" i="64"/>
  <c r="L59" i="76"/>
  <c r="J10" i="60"/>
  <c r="G4" i="34"/>
  <c r="J48" i="25"/>
  <c r="E6" i="38"/>
  <c r="L45" i="71"/>
  <c r="I92" i="87"/>
  <c r="K51" i="71"/>
  <c r="N46" i="94"/>
  <c r="K85" i="63"/>
  <c r="I55" i="55"/>
  <c r="O54" i="72"/>
  <c r="H9"/>
  <c r="D55" i="26"/>
  <c r="N49" i="29"/>
  <c r="G10" i="63"/>
  <c r="N27" i="57"/>
  <c r="M7"/>
  <c r="M86" i="34"/>
  <c r="M48" i="46"/>
  <c r="N28" i="39"/>
  <c r="H94" i="79"/>
  <c r="I92" i="45"/>
  <c r="D91" i="66"/>
  <c r="L45" i="53"/>
  <c r="I79" i="89"/>
  <c r="M18" i="57"/>
  <c r="O33" i="89"/>
  <c r="F34" i="70"/>
  <c r="F35" i="62"/>
  <c r="H17" i="73"/>
  <c r="H45" i="82"/>
  <c r="K29" i="56"/>
  <c r="L47" i="53"/>
  <c r="N80" i="70"/>
  <c r="L68" i="77"/>
  <c r="K86" i="73"/>
  <c r="O40" i="59"/>
  <c r="G18" i="52"/>
  <c r="E65" i="75"/>
  <c r="L43" i="91"/>
  <c r="K22" i="53"/>
  <c r="F98" i="80"/>
  <c r="N42" i="76"/>
  <c r="I53" i="84"/>
  <c r="F61" i="44"/>
  <c r="L57" i="65"/>
  <c r="E86" i="53"/>
  <c r="L56" i="94"/>
  <c r="D95" i="61"/>
  <c r="N46" i="64"/>
  <c r="L40" i="36"/>
  <c r="K42" i="41"/>
  <c r="E36" i="68"/>
  <c r="K46" i="94"/>
  <c r="H27" i="56"/>
  <c r="L4" i="83"/>
  <c r="G16" i="92"/>
  <c r="F4" i="29"/>
  <c r="E101" i="75"/>
  <c r="L11" i="49"/>
  <c r="J9" i="70"/>
  <c r="O8" i="71"/>
  <c r="F4" i="54"/>
  <c r="I107" i="55"/>
  <c r="N20" i="58"/>
  <c r="M89" i="77"/>
  <c r="J77" i="61"/>
  <c r="D37" i="89"/>
  <c r="H33" i="76"/>
  <c r="L95" i="73"/>
  <c r="J16" i="84"/>
  <c r="D51" i="68"/>
  <c r="N57" i="39"/>
  <c r="K70" i="87"/>
  <c r="M32" i="51"/>
  <c r="D91" i="53"/>
  <c r="D26" i="57"/>
  <c r="O65" i="72"/>
  <c r="F23" i="46"/>
  <c r="O36" i="45"/>
  <c r="O85" i="87"/>
  <c r="H38" i="55"/>
  <c r="D13" i="45"/>
  <c r="J94" i="25"/>
  <c r="L64" i="34"/>
  <c r="G104" i="76"/>
  <c r="G12" i="34"/>
  <c r="G48" i="61"/>
  <c r="G94" i="44"/>
  <c r="O50" i="70"/>
  <c r="L45" i="63"/>
  <c r="G97" i="39"/>
  <c r="L10" i="93"/>
  <c r="G29" i="26"/>
  <c r="E97" i="68"/>
  <c r="K76" i="65"/>
  <c r="N106" i="43"/>
  <c r="I85" i="53"/>
  <c r="G106" i="34"/>
  <c r="I38" i="58"/>
  <c r="L64" i="77"/>
  <c r="L26" i="87"/>
  <c r="G57" i="68"/>
  <c r="M76" i="57"/>
  <c r="O74" i="26"/>
  <c r="F40" i="34"/>
  <c r="E53" i="70"/>
  <c r="F53" i="39"/>
  <c r="J83" i="82"/>
  <c r="I11" i="54"/>
  <c r="D26" i="47"/>
  <c r="I24" i="74"/>
  <c r="H18" i="40"/>
  <c r="G21" i="73"/>
  <c r="F103" i="70"/>
  <c r="L33" i="71"/>
  <c r="L17" i="84"/>
  <c r="M58" i="51"/>
  <c r="K71" i="63"/>
  <c r="O25"/>
  <c r="G17" i="39"/>
  <c r="G32" i="67"/>
  <c r="J5" i="39"/>
  <c r="O86" i="48"/>
  <c r="E54" i="61"/>
  <c r="E104" i="72"/>
  <c r="L62" i="73"/>
  <c r="N53" i="34"/>
  <c r="D17" i="67"/>
  <c r="D92" i="62"/>
  <c r="L73" i="77"/>
  <c r="N85" i="51"/>
  <c r="L11" i="68"/>
  <c r="E50" i="52"/>
  <c r="K55" i="45"/>
  <c r="H41" i="93"/>
  <c r="M34" i="94"/>
  <c r="K8" i="66"/>
  <c r="H21" i="49"/>
  <c r="M101" i="80"/>
  <c r="J89" i="83"/>
  <c r="H86" i="36"/>
  <c r="J104" i="67"/>
  <c r="L98" i="83"/>
  <c r="L23" i="57"/>
  <c r="F76" i="94"/>
  <c r="J85" i="90"/>
  <c r="D11" i="41"/>
  <c r="G83" i="67"/>
  <c r="O5" i="46"/>
  <c r="G52" i="58"/>
  <c r="I82" i="78"/>
  <c r="L61" i="83"/>
  <c r="J36" i="65"/>
  <c r="D21" i="44"/>
  <c r="G52" i="61"/>
  <c r="N92" i="39"/>
  <c r="J103" i="89"/>
  <c r="E88" i="30"/>
  <c r="D98" i="67"/>
  <c r="O9" i="93"/>
  <c r="I59" i="39"/>
  <c r="H33" i="58"/>
  <c r="I61"/>
  <c r="H85" i="68"/>
  <c r="F23" i="72"/>
  <c r="O88" i="63"/>
  <c r="M95" i="92"/>
  <c r="M10" i="78"/>
  <c r="D48" i="32"/>
  <c r="H54" i="35"/>
  <c r="O5" i="93"/>
  <c r="D68" i="43"/>
  <c r="E68" i="52"/>
  <c r="M17" i="36"/>
  <c r="H52" i="70"/>
  <c r="L107" i="74"/>
  <c r="E48" i="71"/>
  <c r="I68" i="60"/>
  <c r="I54" i="30"/>
  <c r="M10" i="83"/>
  <c r="M85" i="89"/>
  <c r="D88" i="56"/>
  <c r="I65" i="69"/>
  <c r="N40" i="77"/>
  <c r="L50" i="32"/>
  <c r="H18" i="79"/>
  <c r="O92" i="82"/>
  <c r="D40" i="89"/>
  <c r="H8" i="49"/>
  <c r="N73" i="46"/>
  <c r="H88" i="35"/>
  <c r="E89" i="19"/>
  <c r="K46" i="36"/>
  <c r="K79" i="71"/>
  <c r="F104" i="79"/>
  <c r="J8" i="43"/>
  <c r="G79" i="34"/>
  <c r="N100" i="66"/>
  <c r="L100" i="19"/>
  <c r="M51" i="46"/>
  <c r="O12" i="44"/>
  <c r="O40" i="19"/>
  <c r="K101" i="63"/>
  <c r="N67" i="90"/>
  <c r="J7" i="36"/>
  <c r="L34" i="67"/>
  <c r="J12" i="83"/>
  <c r="I92" i="56"/>
  <c r="I17" i="41"/>
  <c r="L44" i="59"/>
  <c r="K52" i="75"/>
  <c r="L36" i="40"/>
  <c r="D61" i="35"/>
  <c r="H41" i="72"/>
  <c r="D28" i="91"/>
  <c r="E11" i="38"/>
  <c r="M106" i="81"/>
  <c r="H62" i="93"/>
  <c r="M5" i="47"/>
  <c r="G55" i="32"/>
  <c r="L8" i="69"/>
  <c r="F37" i="76"/>
  <c r="F35" i="84"/>
  <c r="M91" i="58"/>
  <c r="O48" i="72"/>
  <c r="G14" i="49"/>
  <c r="H83" i="41"/>
  <c r="J101" i="53"/>
  <c r="M22" i="76"/>
  <c r="O6" i="53"/>
  <c r="D17" i="56"/>
  <c r="F89" i="84"/>
  <c r="E22" i="53"/>
  <c r="F71" i="34"/>
  <c r="L77" i="33"/>
  <c r="G19" i="65"/>
  <c r="D36" i="27"/>
  <c r="I12" i="45"/>
  <c r="D27" i="29"/>
  <c r="F27" i="52"/>
  <c r="I43" i="58"/>
  <c r="D50" i="79"/>
  <c r="F48" i="82"/>
  <c r="M97" i="55"/>
  <c r="H25" i="59"/>
  <c r="N100" i="44"/>
  <c r="D11" i="82"/>
  <c r="C14" i="96"/>
  <c r="H16" i="86"/>
  <c r="H27" i="46"/>
  <c r="D95" i="69"/>
  <c r="J9" i="71"/>
  <c r="N29" i="35"/>
  <c r="H12" i="19"/>
  <c r="J91" i="73"/>
  <c r="N10" i="61"/>
  <c r="F38" i="25"/>
  <c r="K54" i="68"/>
  <c r="O101" i="91"/>
  <c r="K30" i="27"/>
  <c r="I4" i="93"/>
  <c r="M17" i="33"/>
  <c r="N31"/>
  <c r="M62" i="62"/>
  <c r="N46" i="63"/>
  <c r="K107" i="69"/>
  <c r="M77" i="51"/>
  <c r="K58" i="93"/>
  <c r="N95" i="62"/>
  <c r="H53" i="80"/>
  <c r="G42" i="25"/>
  <c r="N70" i="80"/>
  <c r="N56" i="78"/>
  <c r="I67" i="48"/>
  <c r="N70" i="60"/>
  <c r="I53" i="74"/>
  <c r="E67" i="19"/>
  <c r="G27" i="57"/>
  <c r="O61" i="76"/>
  <c r="G43" i="78"/>
  <c r="J22" i="36"/>
  <c r="M8" i="26"/>
  <c r="G61" i="27"/>
  <c r="I77" i="59"/>
  <c r="H89" i="87"/>
  <c r="M106" i="78"/>
  <c r="F33" i="38"/>
  <c r="I61" i="19"/>
  <c r="M6"/>
  <c r="K85" i="55"/>
  <c r="D44" i="52"/>
  <c r="H8" i="38"/>
  <c r="O82" i="65"/>
  <c r="L73" i="59"/>
  <c r="F32" i="62"/>
  <c r="E5" i="35"/>
  <c r="L7" i="67"/>
  <c r="E34" i="60"/>
  <c r="H106" i="57"/>
  <c r="D7" i="85"/>
  <c r="J30" i="43"/>
  <c r="F45" i="26"/>
  <c r="D76" i="47"/>
  <c r="J31" i="55"/>
  <c r="D10" i="71"/>
  <c r="I88"/>
  <c r="K76" i="55"/>
  <c r="E43" i="49"/>
  <c r="K65" i="70"/>
  <c r="L14" i="66"/>
  <c r="D73" i="47"/>
  <c r="D92" i="26"/>
  <c r="G42" i="66"/>
  <c r="O48" i="78"/>
  <c r="M29" i="68"/>
  <c r="M57" i="72"/>
  <c r="F41" i="58"/>
  <c r="E68" i="56"/>
  <c r="J97" i="65"/>
  <c r="H18" i="35"/>
  <c r="M101" i="76"/>
  <c r="M58" i="86"/>
  <c r="F86" i="93"/>
  <c r="J36" i="66"/>
  <c r="J19" i="61"/>
  <c r="N61" i="43"/>
  <c r="K45" i="77"/>
  <c r="E68" i="26"/>
  <c r="F64" i="59"/>
  <c r="M44" i="53"/>
  <c r="K54" i="64"/>
  <c r="K77" i="33"/>
  <c r="L62" i="86"/>
  <c r="M94" i="49"/>
  <c r="D106" i="84"/>
  <c r="K59" i="64"/>
  <c r="I9" i="85"/>
  <c r="I56" i="54"/>
  <c r="H80" i="62"/>
  <c r="G86" i="78"/>
  <c r="F80" i="33"/>
  <c r="O43" i="35"/>
  <c r="K9" i="58"/>
  <c r="H100" i="65"/>
  <c r="F97" i="45"/>
  <c r="F19" i="71"/>
  <c r="H89" i="47"/>
  <c r="E35" i="76"/>
  <c r="F53" i="41"/>
  <c r="L24" i="71"/>
  <c r="M15" i="36"/>
  <c r="L70" i="69"/>
  <c r="F8" i="30"/>
  <c r="I20" i="25"/>
  <c r="F11" i="90"/>
  <c r="F92" i="47"/>
  <c r="M20" i="49"/>
  <c r="J104" i="93"/>
  <c r="J33" i="86"/>
  <c r="L28" i="59"/>
  <c r="I104" i="30"/>
  <c r="L79" i="19"/>
  <c r="L12" i="54"/>
  <c r="N43" i="32"/>
  <c r="H86" i="57"/>
  <c r="J43" i="83"/>
  <c r="N54" i="47"/>
  <c r="O28" i="27"/>
  <c r="G107" i="35"/>
  <c r="H71" i="26"/>
  <c r="G107" i="69"/>
  <c r="H20" i="27"/>
  <c r="K55" i="59"/>
  <c r="F23" i="45"/>
  <c r="I12" i="36"/>
  <c r="E35" i="48"/>
  <c r="G94" i="69"/>
  <c r="O106" i="32"/>
  <c r="I18" i="51"/>
  <c r="D12" i="90"/>
  <c r="L80" i="93"/>
  <c r="O51" i="55"/>
  <c r="G32" i="66"/>
  <c r="G29" i="69"/>
  <c r="G54" i="44"/>
  <c r="M28" i="74"/>
  <c r="H46" i="27"/>
  <c r="E40" i="61"/>
  <c r="G34" i="94"/>
  <c r="E52" i="67"/>
  <c r="J27" i="65"/>
  <c r="M107" i="27"/>
  <c r="L9" i="73"/>
  <c r="E101" i="30"/>
  <c r="M62" i="64"/>
  <c r="G73" i="56"/>
  <c r="E94" i="43"/>
  <c r="I51" i="65"/>
  <c r="H92" i="73"/>
  <c r="J80" i="61"/>
  <c r="I70" i="34"/>
  <c r="E59" i="93"/>
  <c r="I58" i="19"/>
  <c r="M53" i="72"/>
  <c r="F94" i="64"/>
  <c r="G56" i="61"/>
  <c r="F48" i="67"/>
  <c r="K94" i="56"/>
  <c r="D26" i="38"/>
  <c r="N89" i="49"/>
  <c r="D100" i="32"/>
  <c r="I97" i="68"/>
  <c r="E92" i="85"/>
  <c r="I25" i="77"/>
  <c r="M53" i="36"/>
  <c r="L49" i="56"/>
  <c r="K73" i="64"/>
  <c r="O22" i="27"/>
  <c r="H38" i="65"/>
  <c r="D16" i="46"/>
  <c r="O12" i="80"/>
  <c r="O47" i="71"/>
  <c r="G22" i="68"/>
  <c r="E61" i="61"/>
  <c r="F43" i="71"/>
  <c r="J71" i="93"/>
  <c r="O25" i="89"/>
  <c r="N55" i="47"/>
  <c r="K64" i="44"/>
  <c r="N23" i="29"/>
  <c r="J36" i="48"/>
  <c r="D35" i="65"/>
  <c r="K59" i="63"/>
  <c r="F15" i="72"/>
  <c r="I106" i="74"/>
  <c r="K8" i="44"/>
  <c r="F36" i="70"/>
  <c r="M14" i="91"/>
  <c r="M77" i="64"/>
  <c r="H92" i="67"/>
  <c r="G37" i="50"/>
  <c r="D7" i="47"/>
  <c r="I103" i="49"/>
  <c r="I76" i="69"/>
  <c r="J53" i="19"/>
  <c r="N15" i="36"/>
  <c r="M11" i="81"/>
  <c r="J35" i="87"/>
  <c r="K39" i="57"/>
  <c r="L4"/>
  <c r="L58" i="82"/>
  <c r="J39" i="33"/>
  <c r="J36"/>
  <c r="E103" i="30"/>
  <c r="N86" i="19"/>
  <c r="M22" i="68"/>
  <c r="F58" i="34"/>
  <c r="J89" i="70"/>
  <c r="I18" i="44"/>
  <c r="O70" i="55"/>
  <c r="M65" i="71"/>
  <c r="I10" i="50"/>
  <c r="F4" i="82"/>
  <c r="H95" i="56"/>
  <c r="F7" i="38"/>
  <c r="O42" i="39"/>
  <c r="H73" i="80"/>
  <c r="G106" i="79"/>
  <c r="N71" i="25"/>
  <c r="G10" i="40"/>
  <c r="I82" i="92"/>
  <c r="D36" i="32"/>
  <c r="J22" i="87"/>
  <c r="N46" i="90"/>
  <c r="E10" i="29"/>
  <c r="H29" i="58"/>
  <c r="D56" i="32"/>
  <c r="J21" i="59"/>
  <c r="N101" i="32"/>
  <c r="N70" i="92"/>
  <c r="H34" i="87"/>
  <c r="K15" i="60"/>
  <c r="K8" i="32"/>
  <c r="I91" i="80"/>
  <c r="K40" i="51"/>
  <c r="O23" i="71"/>
  <c r="I38" i="77"/>
  <c r="E64" i="60"/>
  <c r="N67" i="41"/>
  <c r="M7" i="93"/>
  <c r="H64" i="79"/>
  <c r="O43" i="92"/>
  <c r="N47" i="75"/>
  <c r="D58" i="92"/>
  <c r="N77" i="84"/>
  <c r="L103" i="54"/>
  <c r="G82" i="67"/>
  <c r="N83" i="70"/>
  <c r="D17" i="84"/>
  <c r="L57" i="93"/>
  <c r="O11" i="58"/>
  <c r="H104" i="79"/>
  <c r="L74" i="55"/>
  <c r="E61" i="36"/>
  <c r="L95" i="55"/>
  <c r="J7" i="47"/>
  <c r="F26" i="73"/>
  <c r="D77" i="54"/>
  <c r="E89" i="61"/>
  <c r="O74" i="53"/>
  <c r="E51" i="77"/>
  <c r="O34" i="89"/>
  <c r="I10" i="38"/>
  <c r="L4" i="94"/>
  <c r="I47"/>
  <c r="E59" i="46"/>
  <c r="L20" i="68"/>
  <c r="O4" i="71"/>
  <c r="K30" i="46"/>
  <c r="H51" i="90"/>
  <c r="M31"/>
  <c r="H42" i="61"/>
  <c r="N46" i="84"/>
  <c r="J20" i="70"/>
  <c r="M53" i="56"/>
  <c r="G51" i="54"/>
  <c r="G92" i="69"/>
  <c r="L30" i="40"/>
  <c r="N11" i="29"/>
  <c r="D43" i="48"/>
  <c r="M48" i="54"/>
  <c r="J68" i="91"/>
  <c r="M30" i="66"/>
  <c r="N49" i="93"/>
  <c r="O41" i="78"/>
  <c r="O29" i="34"/>
  <c r="H33" i="65"/>
  <c r="O98" i="26"/>
  <c r="J39" i="72"/>
  <c r="F67" i="71"/>
  <c r="N91" i="49"/>
  <c r="K85" i="43"/>
  <c r="K6" i="70"/>
  <c r="F73" i="91"/>
  <c r="H17" i="55"/>
  <c r="E10" i="83"/>
  <c r="K8" i="43"/>
  <c r="L54" i="60"/>
  <c r="J36" i="54"/>
  <c r="H61" i="76"/>
  <c r="E8" i="47"/>
  <c r="H79" i="78"/>
  <c r="H30" i="57"/>
  <c r="D31" i="92"/>
  <c r="M53" i="30"/>
  <c r="N23" i="81"/>
  <c r="G38" i="58"/>
  <c r="L10" i="81"/>
  <c r="K46" i="80"/>
  <c r="E40" i="33"/>
  <c r="K57" i="68"/>
  <c r="J83" i="56"/>
  <c r="G65" i="78"/>
  <c r="K6" i="41"/>
  <c r="O76" i="59"/>
  <c r="F106" i="70"/>
  <c r="F104" i="39"/>
  <c r="D64" i="25"/>
  <c r="G8" i="19"/>
  <c r="E27" i="25"/>
  <c r="I38" i="40"/>
  <c r="N68" i="84"/>
  <c r="L15" i="56"/>
  <c r="G79" i="63"/>
  <c r="O42" i="94"/>
  <c r="K24" i="58"/>
  <c r="K26" i="48"/>
  <c r="E44" i="54"/>
  <c r="D82" i="86"/>
  <c r="L70" i="84"/>
  <c r="N59" i="53"/>
  <c r="L70" i="93"/>
  <c r="K86" i="71"/>
  <c r="L94" i="65"/>
  <c r="I4" i="25"/>
  <c r="G71" i="82"/>
  <c r="M40" i="26"/>
  <c r="L11" i="44"/>
  <c r="D23" i="54"/>
  <c r="O55" i="91"/>
  <c r="M97" i="68"/>
  <c r="M45" i="78"/>
  <c r="M24" i="36"/>
  <c r="J22" i="90"/>
  <c r="D62" i="29"/>
  <c r="E5" i="93"/>
  <c r="L7" i="49"/>
  <c r="E15" i="77"/>
  <c r="F56" i="42"/>
  <c r="O39" i="71"/>
  <c r="M42" i="81"/>
  <c r="F92" i="26"/>
  <c r="K50" i="32"/>
  <c r="J25" i="86"/>
  <c r="K88" i="87"/>
  <c r="I12" i="60"/>
  <c r="F98" i="69"/>
  <c r="M70" i="30"/>
  <c r="O44" i="84"/>
  <c r="K22" i="93"/>
  <c r="M15" i="70"/>
  <c r="J28" i="36"/>
  <c r="O25" i="32"/>
  <c r="K50" i="86"/>
  <c r="D27" i="72"/>
  <c r="K94" i="53"/>
  <c r="D44" i="32"/>
  <c r="L29" i="92"/>
  <c r="E29" i="35"/>
  <c r="M25" i="74"/>
  <c r="M61" i="73"/>
  <c r="E76" i="68"/>
  <c r="O5" i="94"/>
  <c r="M5" i="84"/>
  <c r="J14" i="30"/>
  <c r="G92" i="40"/>
  <c r="O29" i="61"/>
  <c r="J9" i="91"/>
  <c r="O7" i="29"/>
  <c r="M59" i="41"/>
  <c r="O51" i="43"/>
  <c r="E89" i="83"/>
  <c r="E83" i="73"/>
  <c r="L74" i="58"/>
  <c r="J7" i="33"/>
  <c r="N104"/>
  <c r="M17" i="87"/>
  <c r="N31" i="46"/>
  <c r="F40" i="77"/>
  <c r="O11" i="75"/>
  <c r="E57" i="68"/>
  <c r="O28" i="60"/>
  <c r="G19" i="29"/>
  <c r="L92" i="66"/>
  <c r="K15" i="59"/>
  <c r="J32" i="69"/>
  <c r="E18" i="27"/>
  <c r="I68" i="65"/>
  <c r="H95" i="78"/>
  <c r="N64" i="41"/>
  <c r="F77" i="39"/>
  <c r="H97" i="30"/>
  <c r="G59" i="26"/>
  <c r="E51" i="83"/>
  <c r="F13" i="48"/>
  <c r="E88" i="40"/>
  <c r="O89" i="83"/>
  <c r="G24" i="85"/>
  <c r="M98" i="51"/>
  <c r="D15" i="34"/>
  <c r="I7" i="85"/>
  <c r="N27" i="86"/>
  <c r="J31" i="90"/>
  <c r="D8" i="50"/>
  <c r="K86" i="94"/>
  <c r="I5" i="73"/>
  <c r="D32" i="49"/>
  <c r="N86" i="59"/>
  <c r="L50" i="57"/>
  <c r="D14" i="94"/>
  <c r="J12" i="65"/>
  <c r="N92"/>
  <c r="M12" i="86"/>
  <c r="I9" i="87"/>
  <c r="J21" i="77"/>
  <c r="O11" i="68"/>
  <c r="O104" i="53"/>
  <c r="I5" i="34"/>
  <c r="I89" i="52"/>
  <c r="I59" i="44"/>
  <c r="I80" i="53"/>
  <c r="D40" i="51"/>
  <c r="L37" i="91"/>
  <c r="G18" i="44"/>
  <c r="K16" i="78"/>
  <c r="N57" i="62"/>
  <c r="N41" i="76"/>
  <c r="L32" i="84"/>
  <c r="E80" i="86"/>
  <c r="K5" i="76"/>
  <c r="E6" i="91"/>
  <c r="N64" i="87"/>
  <c r="K104" i="47"/>
  <c r="K30" i="19"/>
  <c r="H104" i="72"/>
  <c r="K74" i="51"/>
  <c r="O36" i="92"/>
  <c r="H59" i="34"/>
  <c r="H61" i="55"/>
  <c r="D95" i="91"/>
  <c r="M37" i="81"/>
  <c r="F9" i="90"/>
  <c r="K77"/>
  <c r="E88" i="60"/>
  <c r="G89" i="43"/>
  <c r="L82" i="73"/>
  <c r="J106" i="79"/>
  <c r="F107" i="69"/>
  <c r="O11" i="76"/>
  <c r="M82" i="35"/>
  <c r="F106" i="74"/>
  <c r="N32" i="84"/>
  <c r="E36" i="70"/>
  <c r="M104" i="45"/>
  <c r="H30" i="73"/>
  <c r="I97" i="72"/>
  <c r="D22" i="36"/>
  <c r="M52" i="74"/>
  <c r="D32" i="71"/>
  <c r="K35" i="49"/>
  <c r="N23" i="33"/>
  <c r="D91" i="52"/>
  <c r="G15" i="27"/>
  <c r="F39" i="61"/>
  <c r="F59" i="26"/>
  <c r="N82" i="77"/>
  <c r="M21" i="27"/>
  <c r="H101" i="64"/>
  <c r="I4" i="80"/>
  <c r="O18" i="46"/>
  <c r="K95" i="61"/>
  <c r="M48" i="86"/>
  <c r="E91" i="52"/>
  <c r="J37" i="90"/>
  <c r="O91" i="87"/>
  <c r="D67" i="50"/>
  <c r="N51" i="87"/>
  <c r="O30" i="89"/>
  <c r="H42" i="93"/>
  <c r="F62" i="71"/>
  <c r="J32" i="30"/>
  <c r="J104" i="64"/>
  <c r="E29" i="40"/>
  <c r="O19" i="56"/>
  <c r="L52" i="47"/>
  <c r="E36" i="86"/>
  <c r="D73" i="71"/>
  <c r="G101" i="41"/>
  <c r="E28" i="58"/>
  <c r="J4" i="57"/>
  <c r="O91" i="83"/>
  <c r="F37" i="56"/>
  <c r="D65" i="84"/>
  <c r="I51" i="78"/>
  <c r="J94" i="56"/>
  <c r="H85" i="84"/>
  <c r="N85" i="60"/>
  <c r="E88" i="48"/>
  <c r="D10" i="27"/>
  <c r="L21" i="49"/>
  <c r="L62" i="93"/>
  <c r="D37" i="75"/>
  <c r="F21" i="30"/>
  <c r="E30" i="44"/>
  <c r="G53" i="94"/>
  <c r="K80" i="47"/>
  <c r="N53" i="40"/>
  <c r="N11" i="70"/>
  <c r="F104" i="26"/>
  <c r="G25" i="86"/>
  <c r="L41" i="81"/>
  <c r="M103" i="71"/>
  <c r="E97" i="19"/>
  <c r="H17" i="90"/>
  <c r="M74" i="77"/>
  <c r="G100" i="79"/>
  <c r="N19" i="77"/>
  <c r="G67" i="84"/>
  <c r="F18" i="85"/>
  <c r="G15" i="83"/>
  <c r="G76" i="86"/>
  <c r="L34" i="89"/>
  <c r="D15" i="29"/>
  <c r="D25" i="69"/>
  <c r="D40" i="52"/>
  <c r="D26" i="50"/>
  <c r="E68" i="47"/>
  <c r="F77" i="80"/>
  <c r="J8" i="25"/>
  <c r="I61" i="69"/>
  <c r="K52" i="55"/>
  <c r="F29" i="52"/>
  <c r="O67" i="93"/>
  <c r="H50" i="47"/>
  <c r="I106" i="53"/>
  <c r="E10" i="55"/>
  <c r="J9" i="62"/>
  <c r="J104" i="35"/>
  <c r="L13" i="72"/>
  <c r="N45" i="38"/>
  <c r="K30" i="40"/>
  <c r="L9" i="59"/>
  <c r="F23" i="51"/>
  <c r="E83" i="72"/>
  <c r="G25" i="94"/>
  <c r="D35"/>
  <c r="N79" i="78"/>
  <c r="J28" i="39"/>
  <c r="H52" i="45"/>
  <c r="M67" i="67"/>
  <c r="O7" i="45"/>
  <c r="J74" i="29"/>
  <c r="M103" i="19"/>
  <c r="G79" i="58"/>
  <c r="N7" i="68"/>
  <c r="K29" i="48"/>
  <c r="E83" i="25"/>
  <c r="M59" i="58"/>
  <c r="M35" i="76"/>
  <c r="H50" i="64"/>
  <c r="E100" i="59"/>
  <c r="K25" i="55"/>
  <c r="G14" i="89"/>
  <c r="K61" i="53"/>
  <c r="H38" i="44"/>
  <c r="E101" i="25"/>
  <c r="O36" i="38"/>
  <c r="H98" i="49"/>
  <c r="I49" i="82"/>
  <c r="O57" i="34"/>
  <c r="H82" i="33"/>
  <c r="H24" i="94"/>
  <c r="N88" i="74"/>
  <c r="K88" i="59"/>
  <c r="I23" i="82"/>
  <c r="O64" i="83"/>
  <c r="K23" i="29"/>
  <c r="K43" i="62"/>
  <c r="L80" i="83"/>
  <c r="G22" i="33"/>
  <c r="E23" i="62"/>
  <c r="F23" i="50"/>
  <c r="N92" i="80"/>
  <c r="O25" i="48"/>
  <c r="M9" i="55"/>
  <c r="H52" i="74"/>
  <c r="D19" i="82"/>
  <c r="M92" i="56"/>
  <c r="F106" i="30"/>
  <c r="I86" i="26"/>
  <c r="E32" i="65"/>
  <c r="M55" i="80"/>
  <c r="D34" i="65"/>
  <c r="J71" i="45"/>
  <c r="I98" i="93"/>
  <c r="L58" i="55"/>
  <c r="E21" i="89"/>
  <c r="K51" i="59"/>
  <c r="M56" i="47"/>
  <c r="N48" i="86"/>
  <c r="N30" i="69"/>
  <c r="M61" i="63"/>
  <c r="H64" i="61"/>
  <c r="O15" i="62"/>
  <c r="I58" i="46"/>
  <c r="M4" i="66"/>
  <c r="N38" i="51"/>
  <c r="N92" i="45"/>
  <c r="K49" i="82"/>
  <c r="O17" i="65"/>
  <c r="L32" i="66"/>
  <c r="E107" i="61"/>
  <c r="G11" i="30"/>
  <c r="F71" i="52"/>
  <c r="J103" i="73"/>
  <c r="O6" i="29"/>
  <c r="J55" i="89"/>
  <c r="N80" i="90"/>
  <c r="D44" i="67"/>
  <c r="K55" i="34"/>
  <c r="D14" i="38"/>
  <c r="J98" i="46"/>
  <c r="H46" i="71"/>
  <c r="O74" i="40"/>
  <c r="H39" i="71"/>
  <c r="H57" i="90"/>
  <c r="G67" i="46"/>
  <c r="H19" i="25"/>
  <c r="I97" i="64"/>
  <c r="F20" i="77"/>
  <c r="O42" i="44"/>
  <c r="I8" i="92"/>
  <c r="G23" i="38"/>
  <c r="M5" i="87"/>
  <c r="F98" i="55"/>
  <c r="F97" i="26"/>
  <c r="N43" i="49"/>
  <c r="O51" i="94"/>
  <c r="K9" i="69"/>
  <c r="F56" i="63"/>
  <c r="N11" i="19"/>
  <c r="L100" i="44"/>
  <c r="H43" i="74"/>
  <c r="N36" i="86"/>
  <c r="E62"/>
  <c r="O80" i="80"/>
  <c r="L12" i="57"/>
  <c r="I35" i="58"/>
  <c r="O67" i="76"/>
  <c r="L86" i="41"/>
  <c r="D27" i="63"/>
  <c r="M46" i="55"/>
  <c r="G85" i="78"/>
  <c r="K92" i="72"/>
  <c r="D61" i="39"/>
  <c r="G49" i="64"/>
  <c r="D52" i="49"/>
  <c r="K29" i="70"/>
  <c r="K100" i="64"/>
  <c r="E18" i="38"/>
  <c r="O100" i="62"/>
  <c r="M5" i="75"/>
  <c r="N35" i="33"/>
  <c r="K88" i="77"/>
  <c r="J56" i="19"/>
  <c r="D38" i="60"/>
  <c r="K51" i="72"/>
  <c r="H76" i="79"/>
  <c r="M92" i="57"/>
  <c r="D10" i="44"/>
  <c r="M21" i="35"/>
  <c r="K86" i="47"/>
  <c r="G71" i="76"/>
  <c r="G39" i="89"/>
  <c r="J45" i="19"/>
  <c r="F36" i="74"/>
  <c r="G53" i="68"/>
  <c r="M56" i="91"/>
  <c r="J104" i="19"/>
  <c r="E40" i="42"/>
  <c r="K74" i="77"/>
  <c r="N31" i="39"/>
  <c r="M73" i="27"/>
  <c r="J46" i="51"/>
  <c r="E71" i="65"/>
  <c r="E55" i="43"/>
  <c r="F57" i="93"/>
  <c r="H5" i="79"/>
  <c r="M11" i="93"/>
  <c r="D52" i="19"/>
  <c r="M70" i="77"/>
  <c r="D38" i="61"/>
  <c r="I49" i="49"/>
  <c r="E70" i="69"/>
  <c r="G77" i="67"/>
  <c r="E86" i="71"/>
  <c r="D58" i="56"/>
  <c r="M41" i="92"/>
  <c r="F17" i="86"/>
  <c r="L64" i="55"/>
  <c r="K80" i="66"/>
  <c r="I82" i="83"/>
  <c r="O22" i="25"/>
  <c r="H44" i="36"/>
  <c r="F95" i="90"/>
  <c r="E31" i="77"/>
  <c r="L103" i="92"/>
  <c r="M86" i="35"/>
  <c r="D49" i="72"/>
  <c r="F92" i="45"/>
  <c r="M12" i="64"/>
  <c r="K12" i="45"/>
  <c r="L64"/>
  <c r="O35" i="47"/>
  <c r="K67" i="56"/>
  <c r="D80" i="59"/>
  <c r="J51" i="36"/>
  <c r="G39" i="25"/>
  <c r="I38" i="63"/>
  <c r="F12" i="87"/>
  <c r="O47" i="38"/>
  <c r="K82" i="78"/>
  <c r="O32" i="82"/>
  <c r="D12" i="77"/>
  <c r="J67" i="72"/>
  <c r="M35" i="40"/>
  <c r="H17" i="59"/>
  <c r="H49" i="36"/>
  <c r="E11" i="94"/>
  <c r="D67" i="26"/>
  <c r="O98" i="29"/>
  <c r="M49" i="70"/>
  <c r="J35"/>
  <c r="F97" i="58"/>
  <c r="O97" i="87"/>
  <c r="I64" i="84"/>
  <c r="L76" i="48"/>
  <c r="I95" i="49"/>
  <c r="K57" i="57"/>
  <c r="I39" i="34"/>
  <c r="G67" i="60"/>
  <c r="E61" i="41"/>
  <c r="I94" i="34"/>
  <c r="K68" i="81"/>
  <c r="K39" i="69"/>
  <c r="J11" i="71"/>
  <c r="D50" i="47"/>
  <c r="K95" i="82"/>
  <c r="J23" i="38"/>
  <c r="L18" i="51"/>
  <c r="J104" i="81"/>
  <c r="O48" i="44"/>
  <c r="E19" i="58"/>
  <c r="K48" i="92"/>
  <c r="D33" i="49"/>
  <c r="N5" i="34"/>
  <c r="M48" i="33"/>
  <c r="H20" i="78"/>
  <c r="L28" i="83"/>
  <c r="I42" i="72"/>
  <c r="D59" i="25"/>
  <c r="N88" i="53"/>
  <c r="O86" i="72"/>
  <c r="D18" i="63"/>
  <c r="N16" i="67"/>
  <c r="I86" i="92"/>
  <c r="I42" i="63"/>
  <c r="N30" i="62"/>
  <c r="O14" i="40"/>
  <c r="H98" i="54"/>
  <c r="D11" i="34"/>
  <c r="G86" i="70"/>
  <c r="J38" i="76"/>
  <c r="I77"/>
  <c r="G17" i="60"/>
  <c r="H4" i="86"/>
  <c r="J48" i="32"/>
  <c r="E58" i="43"/>
  <c r="F98" i="70"/>
  <c r="J13" i="61"/>
  <c r="O55" i="92"/>
  <c r="F6" i="51"/>
  <c r="D59" i="63"/>
  <c r="H22" i="67"/>
  <c r="M47" i="70"/>
  <c r="J40" i="46"/>
  <c r="D29" i="27"/>
  <c r="E79" i="82"/>
  <c r="O57" i="58"/>
  <c r="M64" i="73"/>
  <c r="M6" i="57"/>
  <c r="O65" i="43"/>
  <c r="D35" i="73"/>
  <c r="I79" i="86"/>
  <c r="G92" i="82"/>
  <c r="E55" i="52"/>
  <c r="D57" i="30"/>
  <c r="E14" i="58"/>
  <c r="K24" i="57"/>
  <c r="I32" i="49"/>
  <c r="F4" i="72"/>
  <c r="G71" i="50"/>
  <c r="K61" i="25"/>
  <c r="D15" i="92"/>
  <c r="D58" i="55"/>
  <c r="H97"/>
  <c r="E12" i="63"/>
  <c r="N64" i="60"/>
  <c r="O101" i="92"/>
  <c r="F48" i="74"/>
  <c r="O29" i="51"/>
  <c r="O18" i="80"/>
  <c r="O16" i="91"/>
  <c r="N4" i="74"/>
  <c r="G38" i="80"/>
  <c r="M55" i="93"/>
  <c r="D20" i="81"/>
  <c r="L32" i="59"/>
  <c r="H68" i="34"/>
  <c r="H79" i="76"/>
  <c r="E92" i="40"/>
  <c r="H86" i="92"/>
  <c r="F88" i="59"/>
  <c r="N71" i="69"/>
  <c r="J71" i="60"/>
  <c r="O27" i="40"/>
  <c r="O47" i="29"/>
  <c r="L4" i="82"/>
  <c r="D33" i="87"/>
  <c r="H47" i="74"/>
  <c r="K26" i="73"/>
  <c r="G21" i="66"/>
  <c r="N15" i="45"/>
  <c r="J74" i="61"/>
  <c r="J107" i="89"/>
  <c r="L106" i="53"/>
  <c r="O27" i="67"/>
  <c r="L41" i="41"/>
  <c r="M11" i="47"/>
  <c r="L19" i="35"/>
  <c r="F74" i="64"/>
  <c r="I50" i="52"/>
  <c r="I76" i="34"/>
  <c r="L58" i="73"/>
  <c r="K73" i="39"/>
  <c r="G98" i="33"/>
  <c r="O89" i="39"/>
  <c r="E73" i="46"/>
  <c r="D22" i="47"/>
  <c r="L34" i="54"/>
  <c r="N6" i="29"/>
  <c r="I94" i="70"/>
  <c r="G86" i="43"/>
  <c r="M57" i="62"/>
  <c r="O16" i="89"/>
  <c r="G61" i="80"/>
  <c r="L107" i="35"/>
  <c r="N104" i="57"/>
  <c r="N77" i="80"/>
  <c r="O10" i="76"/>
  <c r="F59" i="80"/>
  <c r="D36"/>
  <c r="J42" i="73"/>
  <c r="K16" i="56"/>
  <c r="J57" i="51"/>
  <c r="M37" i="49"/>
  <c r="O65" i="76"/>
  <c r="I79" i="94"/>
  <c r="L62" i="82"/>
  <c r="F14" i="72"/>
  <c r="L53" i="87"/>
  <c r="E100" i="43"/>
  <c r="M79" i="75"/>
  <c r="L53" i="30"/>
  <c r="D39" i="55"/>
  <c r="E56" i="74"/>
  <c r="I30" i="47"/>
  <c r="J61" i="65"/>
  <c r="N50" i="54"/>
  <c r="G6" i="75"/>
  <c r="N44" i="51"/>
  <c r="N19" i="81"/>
  <c r="K49" i="91"/>
  <c r="L56" i="60"/>
  <c r="D49" i="85"/>
  <c r="I30" i="61"/>
  <c r="I71" i="86"/>
  <c r="G68" i="54"/>
  <c r="N70" i="66"/>
  <c r="H54" i="68"/>
  <c r="I71" i="27"/>
  <c r="D5" i="77"/>
  <c r="O17" i="63"/>
  <c r="N56" i="43"/>
  <c r="G31" i="73"/>
  <c r="K14" i="54"/>
  <c r="E39" i="62"/>
  <c r="J97" i="66"/>
  <c r="L43" i="19"/>
  <c r="I31" i="65"/>
  <c r="M49" i="73"/>
  <c r="M100" i="19"/>
  <c r="F91" i="71"/>
  <c r="H97" i="69"/>
  <c r="E56" i="81"/>
  <c r="G103" i="19"/>
  <c r="G19" i="74"/>
  <c r="O5" i="43"/>
  <c r="M104" i="75"/>
  <c r="O62" i="76"/>
  <c r="E55" i="92"/>
  <c r="H15" i="83"/>
  <c r="J9" i="57"/>
  <c r="G42" i="82"/>
  <c r="E83" i="85"/>
  <c r="D88" i="67"/>
  <c r="F43" i="49"/>
  <c r="I85" i="86"/>
  <c r="O32" i="73"/>
  <c r="J11" i="40"/>
  <c r="D21" i="71"/>
  <c r="J58" i="67"/>
  <c r="I45" i="65"/>
  <c r="K39" i="40"/>
  <c r="O4" i="47"/>
  <c r="E23" i="67"/>
  <c r="F76" i="83"/>
  <c r="J92" i="53"/>
  <c r="D74" i="51"/>
  <c r="F98" i="26"/>
  <c r="J34" i="56"/>
  <c r="L45" i="39"/>
  <c r="J7" i="59"/>
  <c r="J68" i="29"/>
  <c r="J100" i="69"/>
  <c r="J16" i="39"/>
  <c r="J71" i="19"/>
  <c r="M55" i="29"/>
  <c r="O18" i="27"/>
  <c r="D68" i="35"/>
  <c r="I36" i="61"/>
  <c r="H74" i="46"/>
  <c r="H58" i="39"/>
  <c r="L86" i="57"/>
  <c r="E46" i="92"/>
  <c r="M58" i="38"/>
  <c r="F26" i="71"/>
  <c r="K54" i="87"/>
  <c r="G37" i="40"/>
  <c r="E35" i="47"/>
  <c r="O5" i="83"/>
  <c r="N74" i="94"/>
  <c r="J67" i="30"/>
  <c r="H55" i="76"/>
  <c r="N12" i="29"/>
  <c r="J79" i="59"/>
  <c r="E46" i="32"/>
  <c r="D86" i="51"/>
  <c r="E6"/>
  <c r="F97" i="36"/>
  <c r="H23" i="60"/>
  <c r="F39" i="65"/>
  <c r="J79" i="44"/>
  <c r="L68" i="33"/>
  <c r="M103" i="38"/>
  <c r="K19" i="58"/>
  <c r="D42" i="46"/>
  <c r="O10" i="55"/>
  <c r="E23" i="44"/>
  <c r="J95" i="87"/>
  <c r="J14" i="55"/>
  <c r="O39" i="53"/>
  <c r="H73" i="38"/>
  <c r="D55" i="49"/>
  <c r="F88" i="57"/>
  <c r="K42" i="66"/>
  <c r="I70" i="39"/>
  <c r="L68" i="40"/>
  <c r="E50" i="75"/>
  <c r="M107"/>
  <c r="K20" i="83"/>
  <c r="D20" i="52"/>
  <c r="M8" i="89"/>
  <c r="G44" i="62"/>
  <c r="M100"/>
  <c r="F4" i="26"/>
  <c r="G11" i="38"/>
  <c r="F36" i="49"/>
  <c r="K73" i="93"/>
  <c r="O5" i="76"/>
  <c r="I101" i="82"/>
  <c r="N107" i="66"/>
  <c r="O73" i="56"/>
  <c r="D11" i="91"/>
  <c r="J7" i="71"/>
  <c r="M37" i="55"/>
  <c r="G83" i="40"/>
  <c r="M6" i="65"/>
  <c r="L44"/>
  <c r="O107"/>
  <c r="J49" i="35"/>
  <c r="D6" i="48"/>
  <c r="J68" i="60"/>
  <c r="D97" i="38"/>
  <c r="I10" i="90"/>
  <c r="K97" i="84"/>
  <c r="H11" i="74"/>
  <c r="D86" i="67"/>
  <c r="F98" i="59"/>
  <c r="O7" i="56"/>
  <c r="G30" i="77"/>
  <c r="G89" i="86"/>
  <c r="I4" i="94"/>
  <c r="D20" i="50"/>
  <c r="D67" i="59"/>
  <c r="D89" i="79"/>
  <c r="F8" i="73"/>
  <c r="I21" i="66"/>
  <c r="E27" i="94"/>
  <c r="D58" i="57"/>
  <c r="J19" i="67"/>
  <c r="E56" i="57"/>
  <c r="M100" i="40"/>
  <c r="O71" i="77"/>
  <c r="N31" i="65"/>
  <c r="O48" i="82"/>
  <c r="J53" i="73"/>
  <c r="F24" i="45"/>
  <c r="M70" i="62"/>
  <c r="F6" i="70"/>
  <c r="J50" i="58"/>
  <c r="D21" i="87"/>
  <c r="O68" i="73"/>
  <c r="I101" i="92"/>
  <c r="N10" i="25"/>
  <c r="G35" i="82"/>
  <c r="E74" i="63"/>
  <c r="N29" i="76"/>
  <c r="J41" i="64"/>
  <c r="L80" i="62"/>
  <c r="O20" i="77"/>
  <c r="F92" i="57"/>
  <c r="H23" i="79"/>
  <c r="L5" i="91"/>
  <c r="F52" i="56"/>
  <c r="I42" i="94"/>
  <c r="K7" i="34"/>
  <c r="I44" i="75"/>
  <c r="O16" i="32"/>
  <c r="G54" i="73"/>
  <c r="I13" i="81"/>
  <c r="K12" i="36"/>
  <c r="I40" i="35"/>
  <c r="G36" i="41"/>
  <c r="L53" i="62"/>
  <c r="E5" i="58"/>
  <c r="I24" i="44"/>
  <c r="L46" i="69"/>
  <c r="E49" i="71"/>
  <c r="F76" i="52"/>
  <c r="N14" i="58"/>
  <c r="O57" i="48"/>
  <c r="D64" i="91"/>
  <c r="N23" i="64"/>
  <c r="N45" i="30"/>
  <c r="F38" i="57"/>
  <c r="N85" i="86"/>
  <c r="J24" i="82"/>
  <c r="M71" i="93"/>
  <c r="K73" i="29"/>
  <c r="M23" i="58"/>
  <c r="I55" i="93"/>
  <c r="D86" i="83"/>
  <c r="F48" i="43"/>
  <c r="H43" i="46"/>
  <c r="H49" i="78"/>
  <c r="E10" i="70"/>
  <c r="I14" i="72"/>
  <c r="D16" i="67"/>
  <c r="I54" i="83"/>
  <c r="G106" i="94"/>
  <c r="H23" i="84"/>
  <c r="F97" i="25"/>
  <c r="O30" i="86"/>
  <c r="E43" i="69"/>
  <c r="D59" i="82"/>
  <c r="G62" i="42"/>
  <c r="F88" i="33"/>
  <c r="O82" i="38"/>
  <c r="J58" i="73"/>
  <c r="O83" i="58"/>
  <c r="G91" i="85"/>
  <c r="G29" i="30"/>
  <c r="L19" i="54"/>
  <c r="J25" i="53"/>
  <c r="E83" i="41"/>
  <c r="F61" i="92"/>
  <c r="D57" i="68"/>
  <c r="I62" i="56"/>
  <c r="E52" i="58"/>
  <c r="K21" i="92"/>
  <c r="F62" i="30"/>
  <c r="I46" i="71"/>
  <c r="L86" i="61"/>
  <c r="H43" i="71"/>
  <c r="H17" i="65"/>
  <c r="M56" i="69"/>
  <c r="G15" i="73"/>
  <c r="G49" i="40"/>
  <c r="N48" i="48"/>
  <c r="M8" i="33"/>
  <c r="H6" i="60"/>
  <c r="F107" i="78"/>
  <c r="I13" i="57"/>
  <c r="F80" i="76"/>
  <c r="L40" i="81"/>
  <c r="J21" i="79"/>
  <c r="I95" i="87"/>
  <c r="I10" i="35"/>
  <c r="N104" i="29"/>
  <c r="O86" i="33"/>
  <c r="I68" i="76"/>
  <c r="E46" i="27"/>
  <c r="M13" i="93"/>
  <c r="J8" i="26"/>
  <c r="D24" i="76"/>
  <c r="I57" i="77"/>
  <c r="N10" i="80"/>
  <c r="O52" i="29"/>
  <c r="H88" i="66"/>
  <c r="K28" i="74"/>
  <c r="O40" i="82"/>
  <c r="E47" i="64"/>
  <c r="N7" i="70"/>
  <c r="J56" i="47"/>
  <c r="E21" i="45"/>
  <c r="N16" i="29"/>
  <c r="D97" i="36"/>
  <c r="I54" i="47"/>
  <c r="K40" i="62"/>
  <c r="J38" i="94"/>
  <c r="CK71" i="3"/>
  <c r="E33" i="94"/>
  <c r="E15" i="29"/>
  <c r="J48" i="77"/>
  <c r="K39" i="51"/>
  <c r="G30" i="81"/>
  <c r="L85" i="56"/>
  <c r="F37" i="41"/>
  <c r="K34" i="60"/>
  <c r="N48" i="70"/>
  <c r="D70" i="71"/>
  <c r="I70" i="46"/>
  <c r="M98" i="78"/>
  <c r="J27" i="73"/>
  <c r="M50" i="90"/>
  <c r="N12" i="74"/>
  <c r="J39" i="50"/>
  <c r="F33" i="47"/>
  <c r="F88" i="46"/>
  <c r="N49" i="91"/>
  <c r="L67" i="67"/>
  <c r="I67" i="84"/>
  <c r="F106" i="81"/>
  <c r="E40" i="66"/>
  <c r="M107" i="54"/>
  <c r="M14" i="86"/>
  <c r="F43" i="58"/>
  <c r="J20" i="60"/>
  <c r="M31" i="92"/>
  <c r="E5" i="49"/>
  <c r="M30" i="93"/>
  <c r="F24" i="64"/>
  <c r="I89" i="26"/>
  <c r="K4" i="76"/>
  <c r="H16" i="94"/>
  <c r="M31" i="86"/>
  <c r="N39" i="81"/>
  <c r="G50" i="62"/>
  <c r="D65" i="27"/>
  <c r="G88" i="56"/>
  <c r="F4" i="86"/>
  <c r="J57" i="71"/>
  <c r="O9" i="29"/>
  <c r="D91" i="55"/>
  <c r="G85" i="86"/>
  <c r="G38" i="55"/>
  <c r="K25" i="40"/>
  <c r="M42" i="73"/>
  <c r="O70" i="80"/>
  <c r="K86" i="26"/>
  <c r="F10" i="51"/>
  <c r="D18" i="41"/>
  <c r="F100" i="29"/>
  <c r="F49" i="79"/>
  <c r="J15" i="55"/>
  <c r="L36" i="86"/>
  <c r="N101" i="77"/>
  <c r="I74" i="91"/>
  <c r="K30" i="65"/>
  <c r="N31" i="27"/>
  <c r="E12" i="61"/>
  <c r="L14" i="35"/>
  <c r="D51" i="52"/>
  <c r="G15" i="50"/>
  <c r="E6" i="42"/>
  <c r="K83" i="45"/>
  <c r="D21" i="36"/>
  <c r="I89" i="49"/>
  <c r="I26" i="29"/>
  <c r="O29" i="57"/>
  <c r="O59" i="93"/>
  <c r="F6" i="73"/>
  <c r="E103" i="39"/>
  <c r="H61" i="53"/>
  <c r="F50" i="80"/>
  <c r="D98" i="35"/>
  <c r="M76" i="33"/>
  <c r="G67" i="25"/>
  <c r="I41" i="26"/>
  <c r="K46" i="90"/>
  <c r="F94" i="81"/>
  <c r="D48" i="77"/>
  <c r="D31" i="63"/>
  <c r="M41" i="39"/>
  <c r="I23" i="65"/>
  <c r="N56"/>
  <c r="M42" i="33"/>
  <c r="K68" i="38"/>
  <c r="J47" i="67"/>
  <c r="M95" i="68"/>
  <c r="O91" i="94"/>
  <c r="O35" i="65"/>
  <c r="G61" i="87"/>
  <c r="N88" i="40"/>
  <c r="H76" i="75"/>
  <c r="D65" i="43"/>
  <c r="F30" i="29"/>
  <c r="O76" i="75"/>
  <c r="K10" i="27"/>
  <c r="I28" i="55"/>
  <c r="H44" i="78"/>
  <c r="F17" i="82"/>
  <c r="F18" i="26"/>
  <c r="D22" i="77"/>
  <c r="M106" i="91"/>
  <c r="I32" i="42"/>
  <c r="D77" i="78"/>
  <c r="O11" i="74"/>
  <c r="F22" i="46"/>
  <c r="G95" i="80"/>
  <c r="J74"/>
  <c r="G39" i="79"/>
  <c r="F27" i="76"/>
  <c r="F23" i="77"/>
  <c r="E70" i="61"/>
  <c r="O37" i="53"/>
  <c r="N21" i="78"/>
  <c r="D95" i="41"/>
  <c r="G86" i="54"/>
  <c r="M38" i="56"/>
  <c r="I48" i="84"/>
  <c r="E58" i="33"/>
  <c r="G59" i="77"/>
  <c r="O80" i="61"/>
  <c r="O34" i="44"/>
  <c r="K13" i="60"/>
  <c r="E9" i="41"/>
  <c r="O46" i="62"/>
  <c r="H56" i="51"/>
  <c r="F53" i="32"/>
  <c r="K91" i="53"/>
  <c r="I44" i="54"/>
  <c r="D80" i="55"/>
  <c r="I44" i="40"/>
  <c r="D45" i="49"/>
  <c r="K85" i="66"/>
  <c r="O67" i="63"/>
  <c r="O18" i="70"/>
  <c r="I29" i="48"/>
  <c r="I44" i="80"/>
  <c r="G9" i="66"/>
  <c r="I68" i="57"/>
  <c r="K22" i="27"/>
  <c r="G61" i="55"/>
  <c r="J58" i="29"/>
  <c r="I6" i="34"/>
  <c r="L77" i="61"/>
  <c r="L61" i="45"/>
  <c r="K83" i="57"/>
  <c r="G45" i="44"/>
  <c r="L34" i="53"/>
  <c r="L44" i="39"/>
  <c r="D23" i="75"/>
  <c r="K17" i="41"/>
  <c r="J100" i="77"/>
  <c r="I95" i="56"/>
  <c r="G6" i="69"/>
  <c r="D54" i="58"/>
  <c r="O100" i="93"/>
  <c r="J86" i="60"/>
  <c r="G35" i="62"/>
  <c r="E98" i="55"/>
  <c r="M26" i="58"/>
  <c r="G5" i="52"/>
  <c r="I71" i="30"/>
  <c r="I24" i="54"/>
  <c r="F7"/>
  <c r="M14" i="93"/>
  <c r="F65" i="85"/>
  <c r="M97" i="44"/>
  <c r="K47" i="68"/>
  <c r="G52" i="82"/>
  <c r="K46" i="41"/>
  <c r="M101" i="81"/>
  <c r="E51" i="65"/>
  <c r="O67" i="89"/>
  <c r="K15" i="44"/>
  <c r="M97" i="66"/>
  <c r="J73" i="25"/>
  <c r="N89" i="63"/>
  <c r="F54" i="72"/>
  <c r="K14" i="70"/>
  <c r="E39" i="86"/>
  <c r="J106" i="32"/>
  <c r="H27" i="25"/>
  <c r="I48" i="79"/>
  <c r="G64" i="87"/>
  <c r="O65" i="73"/>
  <c r="I24" i="25"/>
  <c r="N19" i="47"/>
  <c r="I21" i="71"/>
  <c r="E103" i="75"/>
  <c r="H44" i="93"/>
  <c r="K86" i="81"/>
  <c r="M45" i="51"/>
  <c r="J15" i="89"/>
  <c r="G41" i="51"/>
  <c r="I56" i="65"/>
  <c r="D49" i="32"/>
  <c r="N57" i="76"/>
  <c r="I29" i="26"/>
  <c r="E94" i="86"/>
  <c r="F16" i="46"/>
  <c r="M31" i="74"/>
  <c r="M5" i="59"/>
  <c r="E73" i="19"/>
  <c r="O13" i="90"/>
  <c r="G26" i="43"/>
  <c r="L79" i="67"/>
  <c r="H103" i="50"/>
  <c r="H95" i="51"/>
  <c r="I23" i="54"/>
  <c r="I45" i="38"/>
  <c r="K94" i="86"/>
  <c r="F5" i="70"/>
  <c r="I41" i="63"/>
  <c r="E80" i="91"/>
  <c r="H45" i="83"/>
  <c r="O73" i="39"/>
  <c r="K91" i="70"/>
  <c r="N29" i="68"/>
  <c r="I104" i="65"/>
  <c r="H8" i="25"/>
  <c r="D55" i="74"/>
  <c r="K106" i="91"/>
  <c r="N21" i="49"/>
  <c r="G35" i="44"/>
  <c r="N59" i="90"/>
  <c r="G52" i="68"/>
  <c r="N15" i="47"/>
  <c r="H5" i="85"/>
  <c r="O14" i="26"/>
  <c r="O56" i="72"/>
  <c r="F18" i="90"/>
  <c r="L43" i="66"/>
  <c r="M54" i="93"/>
  <c r="M67" i="51"/>
  <c r="L41" i="64"/>
  <c r="I42" i="65"/>
  <c r="O95" i="57"/>
  <c r="L31" i="87"/>
  <c r="K88" i="41"/>
  <c r="N16" i="56"/>
  <c r="G92" i="59"/>
  <c r="N56" i="77"/>
  <c r="E14" i="79"/>
  <c r="M100" i="43"/>
  <c r="O53" i="41"/>
  <c r="D43" i="36"/>
  <c r="L32" i="57"/>
  <c r="E98" i="35"/>
  <c r="N74" i="38"/>
  <c r="E20" i="94"/>
  <c r="L8" i="65"/>
  <c r="F33" i="67"/>
  <c r="E86" i="61"/>
  <c r="K28" i="64"/>
  <c r="G59" i="44"/>
  <c r="M95" i="39"/>
  <c r="I61" i="80"/>
  <c r="L34" i="56"/>
  <c r="F82" i="26"/>
  <c r="G36" i="35"/>
  <c r="H38" i="59"/>
  <c r="M19" i="55"/>
  <c r="M24" i="63"/>
  <c r="F83" i="94"/>
  <c r="N27" i="26"/>
  <c r="F80" i="67"/>
  <c r="F45" i="74"/>
  <c r="G30" i="87"/>
  <c r="L30" i="39"/>
  <c r="K83" i="91"/>
  <c r="H12" i="77"/>
  <c r="K79" i="45"/>
  <c r="M21" i="68"/>
  <c r="J76" i="75"/>
  <c r="K23" i="49"/>
  <c r="K85" i="44"/>
  <c r="J103" i="41"/>
  <c r="D55" i="33"/>
  <c r="H30" i="70"/>
  <c r="H85" i="26"/>
  <c r="L82" i="84"/>
  <c r="I98" i="51"/>
  <c r="J10" i="40"/>
  <c r="L55" i="71"/>
  <c r="M18" i="89"/>
  <c r="O40" i="74"/>
  <c r="J8" i="34"/>
  <c r="M88"/>
  <c r="J32" i="25"/>
  <c r="I30" i="52"/>
  <c r="H98" i="78"/>
  <c r="K20"/>
  <c r="N89" i="92"/>
  <c r="L16" i="25"/>
  <c r="I39" i="58"/>
  <c r="M82" i="92"/>
  <c r="I76" i="94"/>
  <c r="I33" i="39"/>
  <c r="H4" i="52"/>
  <c r="K43" i="30"/>
  <c r="D94" i="91"/>
  <c r="D21" i="41"/>
  <c r="G29" i="76"/>
  <c r="H65" i="29"/>
  <c r="K12" i="61"/>
  <c r="I23" i="93"/>
  <c r="E40" i="72"/>
  <c r="L88" i="66"/>
  <c r="K68" i="75"/>
  <c r="M55" i="68"/>
  <c r="K32" i="56"/>
  <c r="N9" i="89"/>
  <c r="G47" i="79"/>
  <c r="H36" i="78"/>
  <c r="D67" i="87"/>
  <c r="L65" i="80"/>
  <c r="H41" i="60"/>
  <c r="E4" i="53"/>
  <c r="M94" i="74"/>
  <c r="D9" i="55"/>
  <c r="D83" i="73"/>
  <c r="E43" i="53"/>
  <c r="G30" i="46"/>
  <c r="M85" i="82"/>
  <c r="N83" i="71"/>
  <c r="O76" i="70"/>
  <c r="H104" i="51"/>
  <c r="J26" i="69"/>
  <c r="D74" i="54"/>
  <c r="I30" i="50"/>
  <c r="K31" i="67"/>
  <c r="O7" i="58"/>
  <c r="L79" i="91"/>
  <c r="G44" i="35"/>
  <c r="M89" i="81"/>
  <c r="J103" i="64"/>
  <c r="D61" i="63"/>
  <c r="N24" i="47"/>
  <c r="D101" i="34"/>
  <c r="H34" i="19"/>
  <c r="O76" i="39"/>
  <c r="J20" i="55"/>
  <c r="H26" i="25"/>
  <c r="O56" i="83"/>
  <c r="L104" i="70"/>
  <c r="I18" i="60"/>
  <c r="F86" i="58"/>
  <c r="L101" i="77"/>
  <c r="D53" i="41"/>
  <c r="E18" i="59"/>
  <c r="D42" i="83"/>
  <c r="O22" i="75"/>
  <c r="J94" i="51"/>
  <c r="H35" i="35"/>
  <c r="F51" i="41"/>
  <c r="N36" i="87"/>
  <c r="L8" i="91"/>
  <c r="J70" i="47"/>
  <c r="G27" i="74"/>
  <c r="E47" i="33"/>
  <c r="H8" i="58"/>
  <c r="M101" i="59"/>
  <c r="E39" i="72"/>
  <c r="E53" i="52"/>
  <c r="D5" i="94"/>
  <c r="F9" i="51"/>
  <c r="G33" i="61"/>
  <c r="O68" i="38"/>
  <c r="J64"/>
  <c r="D56" i="74"/>
  <c r="F79" i="42"/>
  <c r="J46" i="87"/>
  <c r="O35" i="38"/>
  <c r="H56" i="69"/>
  <c r="E48" i="87"/>
  <c r="L35" i="81"/>
  <c r="M51" i="43"/>
  <c r="K80" i="92"/>
  <c r="D55" i="76"/>
  <c r="N41" i="49"/>
  <c r="D5" i="74"/>
  <c r="I82" i="67"/>
  <c r="I95" i="73"/>
  <c r="F79" i="67"/>
  <c r="F59" i="57"/>
  <c r="D52" i="46"/>
  <c r="E9" i="86"/>
  <c r="L28" i="77"/>
  <c r="H91" i="73"/>
  <c r="E36" i="27"/>
  <c r="I88" i="77"/>
  <c r="I30" i="91"/>
  <c r="G11" i="60"/>
  <c r="H42" i="77"/>
  <c r="M12" i="63"/>
  <c r="I52" i="75"/>
  <c r="G17" i="61"/>
  <c r="G20" i="67"/>
  <c r="F19" i="57"/>
  <c r="H61" i="81"/>
  <c r="E8" i="91"/>
  <c r="N68" i="45"/>
  <c r="L74" i="36"/>
  <c r="N100" i="83"/>
  <c r="H71" i="38"/>
  <c r="G20" i="71"/>
  <c r="M55" i="66"/>
  <c r="L45" i="90"/>
  <c r="M58" i="82"/>
  <c r="K39" i="70"/>
  <c r="M42" i="77"/>
  <c r="D51" i="72"/>
  <c r="G100" i="27"/>
  <c r="N43" i="57"/>
  <c r="L58" i="32"/>
  <c r="M107" i="73"/>
  <c r="E101" i="56"/>
  <c r="N62"/>
  <c r="H37" i="78"/>
  <c r="O17" i="36"/>
  <c r="L40" i="55"/>
  <c r="N95" i="73"/>
  <c r="K68" i="90"/>
  <c r="M21" i="26"/>
  <c r="H22" i="87"/>
  <c r="I11" i="19"/>
  <c r="M50" i="33"/>
  <c r="O8" i="38"/>
  <c r="N16" i="40"/>
  <c r="K12" i="77"/>
  <c r="D92" i="83"/>
  <c r="J49" i="57"/>
  <c r="J7" i="91"/>
  <c r="M54"/>
  <c r="D7" i="84"/>
  <c r="E7"/>
  <c r="L107" i="86"/>
  <c r="F28" i="71"/>
  <c r="I86" i="75"/>
  <c r="J24" i="64"/>
  <c r="I32" i="39"/>
  <c r="O7" i="67"/>
  <c r="I89" i="93"/>
  <c r="J92" i="60"/>
  <c r="M52" i="59"/>
  <c r="J73" i="30"/>
  <c r="E56" i="79"/>
  <c r="M61" i="67"/>
  <c r="F10" i="63"/>
  <c r="O44" i="78"/>
  <c r="N12"/>
  <c r="I16" i="80"/>
  <c r="K19" i="83"/>
  <c r="J59" i="73"/>
  <c r="D74" i="66"/>
  <c r="M14" i="68"/>
  <c r="N11" i="58"/>
  <c r="O41" i="55"/>
  <c r="L48" i="60"/>
  <c r="O38" i="33"/>
  <c r="L49" i="69"/>
  <c r="J73" i="47"/>
  <c r="N91" i="67"/>
  <c r="K24" i="62"/>
  <c r="D103" i="27"/>
  <c r="D19" i="50"/>
  <c r="N52" i="74"/>
  <c r="G42" i="59"/>
  <c r="J15" i="80"/>
  <c r="J82" i="69"/>
  <c r="K77" i="68"/>
  <c r="F68" i="83"/>
  <c r="O106" i="29"/>
  <c r="D32" i="51"/>
  <c r="F62" i="42"/>
  <c r="D95" i="52"/>
  <c r="G24" i="26"/>
  <c r="J86" i="29"/>
  <c r="L101" i="46"/>
  <c r="L37" i="78"/>
  <c r="J97" i="46"/>
  <c r="K9" i="34"/>
  <c r="D74" i="79"/>
  <c r="O39" i="87"/>
  <c r="J38" i="49"/>
  <c r="I12" i="50"/>
  <c r="M33" i="65"/>
  <c r="H67" i="67"/>
  <c r="D67" i="90"/>
  <c r="L47" i="27"/>
  <c r="H21" i="55"/>
  <c r="O98" i="93"/>
  <c r="O77" i="87"/>
  <c r="F6" i="75"/>
  <c r="N10" i="56"/>
  <c r="E101" i="54"/>
  <c r="K76" i="59"/>
  <c r="E48" i="39"/>
  <c r="N44" i="90"/>
  <c r="F6" i="78"/>
  <c r="D22" i="94"/>
  <c r="L32" i="27"/>
  <c r="M46" i="33"/>
  <c r="K68" i="29"/>
  <c r="N24" i="90"/>
  <c r="D47" i="26"/>
  <c r="M52" i="75"/>
  <c r="O16" i="72"/>
  <c r="I88" i="49"/>
  <c r="G101" i="69"/>
  <c r="G107" i="26"/>
  <c r="D32" i="62"/>
  <c r="G45" i="27"/>
  <c r="L17" i="35"/>
  <c r="E88"/>
  <c r="G38" i="50"/>
  <c r="E10" i="90"/>
  <c r="N18" i="53"/>
  <c r="E92" i="29"/>
  <c r="D48" i="92"/>
  <c r="D26" i="30"/>
  <c r="G80" i="35"/>
  <c r="G100" i="72"/>
  <c r="K29" i="65"/>
  <c r="L52" i="29"/>
  <c r="G88" i="32"/>
  <c r="K5" i="49"/>
  <c r="J91" i="19"/>
  <c r="F9" i="36"/>
  <c r="I71" i="62"/>
  <c r="D97" i="66"/>
  <c r="G70" i="92"/>
  <c r="N13" i="34"/>
  <c r="D64" i="93"/>
  <c r="K43" i="59"/>
  <c r="J24" i="55"/>
  <c r="L106" i="81"/>
  <c r="F101" i="94"/>
  <c r="I16" i="79"/>
  <c r="F37" i="44"/>
  <c r="M103" i="36"/>
  <c r="M4" i="47"/>
  <c r="H106" i="51"/>
  <c r="E59" i="78"/>
  <c r="M13" i="70"/>
  <c r="O49" i="63"/>
  <c r="E29" i="93"/>
  <c r="G25" i="51"/>
  <c r="F49" i="62"/>
  <c r="N43" i="87"/>
  <c r="O26" i="35"/>
  <c r="I33" i="41"/>
  <c r="O17" i="58"/>
  <c r="E85" i="51"/>
  <c r="E47" i="84"/>
  <c r="L45" i="60"/>
  <c r="G16" i="33"/>
  <c r="E44" i="35"/>
  <c r="D73" i="41"/>
  <c r="O43" i="40"/>
  <c r="L10" i="89"/>
  <c r="G12" i="39"/>
  <c r="E89" i="66"/>
  <c r="L101" i="39"/>
  <c r="M45" i="59"/>
  <c r="N88" i="89"/>
  <c r="I5" i="78"/>
  <c r="D82" i="27"/>
  <c r="N45" i="25"/>
  <c r="E56" i="85"/>
  <c r="L95" i="93"/>
  <c r="F52" i="58"/>
  <c r="F85" i="38"/>
  <c r="L106" i="67"/>
  <c r="N57" i="75"/>
  <c r="I26" i="25"/>
  <c r="H11" i="38"/>
  <c r="L56" i="30"/>
  <c r="L16" i="56"/>
  <c r="N6" i="93"/>
  <c r="L106" i="61"/>
  <c r="J36" i="67"/>
  <c r="N39" i="43"/>
  <c r="N100" i="76"/>
  <c r="J68" i="47"/>
  <c r="J39" i="89"/>
  <c r="M54" i="74"/>
  <c r="K13" i="49"/>
  <c r="H61" i="29"/>
  <c r="F57"/>
  <c r="L10" i="90"/>
  <c r="K89" i="78"/>
  <c r="I19" i="58"/>
  <c r="J43" i="81"/>
  <c r="K38" i="30"/>
  <c r="I58" i="36"/>
  <c r="E31" i="55"/>
  <c r="L33" i="78"/>
  <c r="E33" i="83"/>
  <c r="L21" i="29"/>
  <c r="E39" i="57"/>
  <c r="O101" i="32"/>
  <c r="H80" i="81"/>
  <c r="K73" i="43"/>
  <c r="J59" i="92"/>
  <c r="O18" i="51"/>
  <c r="I46" i="90"/>
  <c r="E36" i="87"/>
  <c r="K52" i="54"/>
  <c r="N30" i="38"/>
  <c r="E58" i="80"/>
  <c r="K77" i="34"/>
  <c r="E106" i="64"/>
  <c r="J14" i="66"/>
  <c r="H91" i="60"/>
  <c r="M57" i="58"/>
  <c r="J10" i="32"/>
  <c r="D33" i="75"/>
  <c r="N11" i="62"/>
  <c r="N42" i="83"/>
  <c r="H48" i="61"/>
  <c r="K95" i="38"/>
  <c r="J36" i="32"/>
  <c r="G6" i="29"/>
  <c r="G80" i="85"/>
  <c r="M13" i="46"/>
  <c r="F64" i="86"/>
  <c r="O94" i="76"/>
  <c r="I86" i="81"/>
  <c r="K86" i="68"/>
  <c r="N59" i="41"/>
  <c r="F100" i="69"/>
  <c r="O65" i="74"/>
  <c r="N21" i="33"/>
  <c r="K59" i="57"/>
  <c r="I18" i="66"/>
  <c r="M65" i="45"/>
  <c r="J89" i="27"/>
  <c r="H77" i="84"/>
  <c r="G36" i="71"/>
  <c r="K53" i="41"/>
  <c r="F14" i="30"/>
  <c r="E46" i="56"/>
  <c r="F51" i="58"/>
  <c r="J18" i="94"/>
  <c r="N49" i="81"/>
  <c r="D4" i="19"/>
  <c r="N33" i="29"/>
  <c r="O21" i="91"/>
  <c r="G30" i="29"/>
  <c r="O97" i="72"/>
  <c r="L33" i="40"/>
  <c r="H26" i="42"/>
  <c r="O95" i="32"/>
  <c r="H61" i="91"/>
  <c r="O6" i="82"/>
  <c r="D39" i="59"/>
  <c r="D7" i="89"/>
  <c r="E8" i="34"/>
  <c r="I36" i="35"/>
  <c r="F54" i="45"/>
  <c r="H48" i="94"/>
  <c r="J37" i="73"/>
  <c r="M107" i="58"/>
  <c r="F37" i="73"/>
  <c r="K54" i="51"/>
  <c r="F24" i="90"/>
  <c r="L52" i="41"/>
  <c r="N64" i="78"/>
  <c r="F106" i="67"/>
  <c r="I4" i="68"/>
  <c r="N33" i="57"/>
  <c r="L107" i="38"/>
  <c r="K83" i="60"/>
  <c r="D38" i="47"/>
  <c r="L46" i="93"/>
  <c r="J97" i="69"/>
  <c r="M40" i="76"/>
  <c r="F32" i="61"/>
  <c r="O53" i="44"/>
  <c r="F89" i="53"/>
  <c r="K106" i="84"/>
  <c r="E80" i="41"/>
  <c r="L21" i="63"/>
  <c r="G24" i="49"/>
  <c r="I22" i="83"/>
  <c r="E18" i="85"/>
  <c r="F88" i="48"/>
  <c r="H101" i="51"/>
  <c r="F107" i="67"/>
  <c r="H92" i="94"/>
  <c r="L64" i="48"/>
  <c r="H11" i="78"/>
  <c r="O43" i="49"/>
  <c r="O18" i="33"/>
  <c r="E16" i="35"/>
  <c r="O85" i="89"/>
  <c r="N19" i="75"/>
  <c r="J65" i="49"/>
  <c r="K36" i="56"/>
  <c r="H21" i="19"/>
  <c r="G94" i="82"/>
  <c r="D56" i="58"/>
  <c r="N98" i="90"/>
  <c r="E31" i="81"/>
  <c r="J24" i="65"/>
  <c r="O71" i="91"/>
  <c r="K59" i="43"/>
  <c r="N80" i="72"/>
  <c r="M46" i="71"/>
  <c r="K17" i="94"/>
  <c r="D44" i="35"/>
  <c r="E46" i="54"/>
  <c r="H82" i="93"/>
  <c r="F42" i="68"/>
  <c r="G10" i="26"/>
  <c r="M47" i="56"/>
  <c r="D28" i="89"/>
  <c r="G80" i="19"/>
  <c r="K23" i="91"/>
  <c r="M31" i="19"/>
  <c r="G106" i="41"/>
  <c r="E100" i="94"/>
  <c r="F89" i="65"/>
  <c r="G92" i="66"/>
  <c r="L25" i="49"/>
  <c r="D40" i="84"/>
  <c r="H47"/>
  <c r="N100" i="87"/>
  <c r="M53" i="29"/>
  <c r="K9" i="94"/>
  <c r="E48" i="74"/>
  <c r="E86" i="48"/>
  <c r="D48" i="59"/>
  <c r="E101" i="85"/>
  <c r="I45" i="25"/>
  <c r="I89"/>
  <c r="N54" i="44"/>
  <c r="J58" i="65"/>
  <c r="K98" i="93"/>
  <c r="N35" i="82"/>
  <c r="G31" i="54"/>
  <c r="J85" i="41"/>
  <c r="K43" i="66"/>
  <c r="I65" i="85"/>
  <c r="F17" i="38"/>
  <c r="D29"/>
  <c r="E104" i="64"/>
  <c r="D76" i="33"/>
  <c r="H30" i="74"/>
  <c r="M8" i="87"/>
  <c r="L37" i="75"/>
  <c r="M10" i="58"/>
  <c r="J61" i="78"/>
  <c r="O61" i="57"/>
  <c r="O30" i="49"/>
  <c r="O77" i="60"/>
  <c r="K56" i="83"/>
  <c r="H55" i="50"/>
  <c r="J80" i="64"/>
  <c r="L65" i="35"/>
  <c r="G36" i="38"/>
  <c r="D10" i="75"/>
  <c r="K41" i="68"/>
  <c r="O94" i="66"/>
  <c r="J37" i="38"/>
  <c r="O8" i="54"/>
  <c r="L42" i="62"/>
  <c r="E106" i="29"/>
  <c r="I30" i="77"/>
  <c r="K26" i="62"/>
  <c r="G91" i="60"/>
  <c r="H22" i="45"/>
  <c r="I50" i="79"/>
  <c r="K104" i="48"/>
  <c r="G51" i="64"/>
  <c r="O41" i="32"/>
  <c r="H59" i="76"/>
  <c r="E34" i="92"/>
  <c r="O17" i="86"/>
  <c r="F44" i="26"/>
  <c r="L98" i="78"/>
  <c r="O7" i="33"/>
  <c r="L86" i="64"/>
  <c r="D19" i="59"/>
  <c r="K68" i="78"/>
  <c r="L68" i="44"/>
  <c r="O54" i="62"/>
  <c r="D80" i="64"/>
  <c r="O80" i="78"/>
  <c r="I59" i="82"/>
  <c r="F86" i="75"/>
  <c r="F24" i="79"/>
  <c r="K10" i="26"/>
  <c r="D30" i="47"/>
  <c r="G101" i="86"/>
  <c r="J91" i="89"/>
  <c r="H61" i="32"/>
  <c r="D35" i="44"/>
  <c r="G45" i="47"/>
  <c r="H92" i="62"/>
  <c r="G49" i="61"/>
  <c r="F29" i="85"/>
  <c r="E35" i="67"/>
  <c r="I54" i="86"/>
  <c r="L33" i="34"/>
  <c r="I46" i="85"/>
  <c r="I41" i="79"/>
  <c r="M85" i="94"/>
  <c r="I53" i="52"/>
  <c r="O33" i="69"/>
  <c r="E42" i="70"/>
  <c r="F44" i="44"/>
  <c r="L55" i="90"/>
  <c r="F30" i="78"/>
  <c r="D23" i="93"/>
  <c r="L27" i="67"/>
  <c r="I14" i="33"/>
  <c r="E48" i="40"/>
  <c r="O53" i="63"/>
  <c r="J67" i="60"/>
  <c r="G61" i="57"/>
  <c r="H79" i="73"/>
  <c r="I71" i="90"/>
  <c r="E39" i="56"/>
  <c r="K56" i="92"/>
  <c r="N106" i="86"/>
  <c r="O70" i="72"/>
  <c r="E14" i="70"/>
  <c r="L31" i="83"/>
  <c r="H101"/>
  <c r="N26" i="72"/>
  <c r="M23" i="71"/>
  <c r="D23" i="89"/>
  <c r="D17" i="47"/>
  <c r="E47" i="62"/>
  <c r="F18" i="30"/>
  <c r="M15" i="91"/>
  <c r="L26" i="43"/>
  <c r="E52" i="72"/>
  <c r="H65" i="64"/>
  <c r="N19" i="61"/>
  <c r="H26" i="19"/>
  <c r="I83" i="72"/>
  <c r="N15" i="70"/>
  <c r="F65" i="79"/>
  <c r="I64" i="32"/>
  <c r="I92" i="91"/>
  <c r="N38" i="35"/>
  <c r="E6" i="19"/>
  <c r="E8" i="52"/>
  <c r="G44" i="27"/>
  <c r="O15" i="78"/>
  <c r="J39" i="25"/>
  <c r="N12" i="80"/>
  <c r="G22" i="35"/>
  <c r="G35" i="19"/>
  <c r="H88" i="49"/>
  <c r="D68" i="92"/>
  <c r="L67" i="40"/>
  <c r="K21" i="84"/>
  <c r="N55" i="53"/>
  <c r="D104" i="44"/>
  <c r="G20" i="64"/>
  <c r="M22" i="65"/>
  <c r="F47" i="33"/>
  <c r="D68" i="65"/>
  <c r="I67" i="44"/>
  <c r="O38" i="60"/>
  <c r="E62" i="32"/>
  <c r="N104" i="58"/>
  <c r="G33" i="27"/>
  <c r="D70" i="26"/>
  <c r="H15" i="27"/>
  <c r="H10" i="25"/>
  <c r="J54" i="43"/>
  <c r="E47" i="81"/>
  <c r="G49" i="86"/>
  <c r="G73" i="52"/>
  <c r="F9" i="19"/>
  <c r="L6" i="25"/>
  <c r="L51" i="86"/>
  <c r="L85" i="26"/>
  <c r="O10" i="27"/>
  <c r="H80" i="56"/>
  <c r="I35" i="40"/>
  <c r="E46" i="49"/>
  <c r="G67" i="64"/>
  <c r="K33" i="33"/>
  <c r="L16" i="73"/>
  <c r="D57" i="64"/>
  <c r="I17" i="52"/>
  <c r="L13" i="62"/>
  <c r="M13" i="90"/>
  <c r="I45" i="61"/>
  <c r="I80" i="67"/>
  <c r="L101" i="65"/>
  <c r="I68" i="43"/>
  <c r="E47" i="58"/>
  <c r="O100" i="45"/>
  <c r="E33" i="65"/>
  <c r="G95" i="89"/>
  <c r="I32" i="27"/>
  <c r="L82" i="34"/>
  <c r="D62" i="48"/>
  <c r="N101" i="53"/>
  <c r="E10" i="74"/>
  <c r="L80" i="91"/>
  <c r="N76" i="33"/>
  <c r="N64" i="82"/>
  <c r="E22" i="29"/>
  <c r="J44" i="73"/>
  <c r="D73" i="35"/>
  <c r="K10" i="54"/>
  <c r="G106" i="27"/>
  <c r="N30" i="77"/>
  <c r="M35" i="71"/>
  <c r="E65" i="50"/>
  <c r="H30" i="62"/>
  <c r="D103" i="78"/>
  <c r="K47" i="48"/>
  <c r="I49" i="44"/>
  <c r="O50" i="40"/>
  <c r="F18" i="75"/>
  <c r="L21" i="44"/>
  <c r="F98" i="82"/>
  <c r="K54" i="91"/>
  <c r="E38" i="70"/>
  <c r="G26" i="67"/>
  <c r="N50" i="92"/>
  <c r="L88" i="53"/>
  <c r="I48" i="41"/>
  <c r="M51" i="48"/>
  <c r="H106" i="75"/>
  <c r="L27" i="78"/>
  <c r="L5" i="94"/>
  <c r="G73" i="42"/>
  <c r="H98" i="25"/>
  <c r="K26" i="74"/>
  <c r="E57" i="92"/>
  <c r="N55" i="43"/>
  <c r="I43" i="38"/>
  <c r="M73" i="56"/>
  <c r="I46" i="43"/>
  <c r="E70" i="94"/>
  <c r="E53" i="33"/>
  <c r="F13" i="47"/>
  <c r="E106" i="53"/>
  <c r="M18" i="71"/>
  <c r="J74" i="72"/>
  <c r="L17" i="27"/>
  <c r="E59" i="75"/>
  <c r="D19" i="32"/>
  <c r="G95" i="53"/>
  <c r="H59" i="64"/>
  <c r="D52" i="54"/>
  <c r="J106" i="55"/>
  <c r="I103"/>
  <c r="M41" i="38"/>
  <c r="G17" i="33"/>
  <c r="M62" i="40"/>
  <c r="D6" i="77"/>
  <c r="G82" i="51"/>
  <c r="F103" i="79"/>
  <c r="F36" i="66"/>
  <c r="H9" i="93"/>
  <c r="E73" i="64"/>
  <c r="F85" i="73"/>
  <c r="L52" i="66"/>
  <c r="E15" i="54"/>
  <c r="D36" i="55"/>
  <c r="I26" i="93"/>
  <c r="H55"/>
  <c r="D8" i="91"/>
  <c r="G39" i="32"/>
  <c r="M57" i="94"/>
  <c r="O45" i="70"/>
  <c r="J46" i="40"/>
  <c r="I20" i="19"/>
  <c r="D50" i="46"/>
  <c r="H58" i="43"/>
  <c r="O38" i="61"/>
  <c r="O31" i="86"/>
  <c r="E62" i="44"/>
  <c r="M42" i="60"/>
  <c r="K15" i="74"/>
  <c r="D34" i="47"/>
  <c r="E14" i="46"/>
  <c r="I5" i="85"/>
  <c r="K68" i="49"/>
  <c r="J55" i="61"/>
  <c r="O56" i="39"/>
  <c r="E45" i="73"/>
  <c r="D98" i="93"/>
  <c r="N28" i="41"/>
  <c r="N44" i="75"/>
  <c r="E67" i="30"/>
  <c r="E52" i="42"/>
  <c r="G48" i="46"/>
  <c r="G36" i="73"/>
  <c r="D88" i="60"/>
  <c r="M88" i="30"/>
  <c r="G64" i="90"/>
  <c r="E47" i="85"/>
  <c r="F29" i="48"/>
  <c r="J76" i="38"/>
  <c r="J67" i="58"/>
  <c r="L94" i="29"/>
  <c r="H74" i="77"/>
  <c r="E85"/>
  <c r="F5" i="53"/>
  <c r="M31" i="30"/>
  <c r="G14" i="92"/>
  <c r="E51" i="61"/>
  <c r="O22" i="58"/>
  <c r="F104" i="73"/>
  <c r="G15" i="79"/>
  <c r="L38" i="19"/>
  <c r="I85" i="71"/>
  <c r="M29" i="40"/>
  <c r="N10" i="69"/>
  <c r="M73" i="70"/>
  <c r="H100" i="36"/>
  <c r="E43" i="26"/>
  <c r="K20" i="63"/>
  <c r="G23" i="53"/>
  <c r="O54" i="94"/>
  <c r="I4" i="61"/>
  <c r="L20" i="49"/>
  <c r="E11" i="58"/>
  <c r="I15" i="78"/>
  <c r="D32" i="30"/>
  <c r="H94" i="78"/>
  <c r="J6" i="50"/>
  <c r="G86" i="80"/>
  <c r="K67" i="58"/>
  <c r="K29" i="62"/>
  <c r="L94" i="93"/>
  <c r="I39" i="76"/>
  <c r="F40" i="62"/>
  <c r="L24" i="55"/>
  <c r="N50" i="32"/>
  <c r="D28" i="69"/>
  <c r="K43" i="63"/>
  <c r="D59" i="43"/>
  <c r="E22" i="73"/>
  <c r="H13" i="75"/>
  <c r="L59" i="90"/>
  <c r="I22" i="66"/>
  <c r="O7" i="73"/>
  <c r="M55" i="82"/>
  <c r="M95" i="89"/>
  <c r="O17" i="67"/>
  <c r="M57" i="93"/>
  <c r="J56" i="30"/>
  <c r="G49" i="65"/>
  <c r="H35" i="29"/>
  <c r="I73" i="49"/>
  <c r="O70" i="44"/>
  <c r="O23" i="25"/>
  <c r="K67" i="32"/>
  <c r="H64" i="83"/>
  <c r="M5" i="36"/>
  <c r="I94" i="52"/>
  <c r="K39" i="45"/>
  <c r="H37" i="80"/>
  <c r="N94"/>
  <c r="N9" i="73"/>
  <c r="J37" i="79"/>
  <c r="H28" i="64"/>
  <c r="E67" i="34"/>
  <c r="J74" i="77"/>
  <c r="E26" i="57"/>
  <c r="H32" i="67"/>
  <c r="G85" i="66"/>
  <c r="D44" i="73"/>
  <c r="H85" i="41"/>
  <c r="F24" i="35"/>
  <c r="L103" i="69"/>
  <c r="K5" i="48"/>
  <c r="F24" i="81"/>
  <c r="I35" i="71"/>
  <c r="I70" i="86"/>
  <c r="M71" i="63"/>
  <c r="I17" i="19"/>
  <c r="K94" i="32"/>
  <c r="M77" i="36"/>
  <c r="J32" i="35"/>
  <c r="H11" i="66"/>
  <c r="H28" i="90"/>
  <c r="N56" i="29"/>
  <c r="F58" i="46"/>
  <c r="G65" i="27"/>
  <c r="O55" i="51"/>
  <c r="D54" i="41"/>
  <c r="J86" i="86"/>
  <c r="L74" i="19"/>
  <c r="N20" i="40"/>
  <c r="D24" i="83"/>
  <c r="L30" i="33"/>
  <c r="O34" i="77"/>
  <c r="I52" i="53"/>
  <c r="F39" i="34"/>
  <c r="I5" i="51"/>
  <c r="I38" i="32"/>
  <c r="O36" i="87"/>
  <c r="J104" i="78"/>
  <c r="I73" i="86"/>
  <c r="K29"/>
  <c r="J52" i="56"/>
  <c r="K33" i="53"/>
  <c r="F33" i="75"/>
  <c r="F82" i="51"/>
  <c r="J14" i="38"/>
  <c r="K33" i="93"/>
  <c r="K28" i="67"/>
  <c r="D76" i="35"/>
  <c r="K14" i="51"/>
  <c r="M79" i="61"/>
  <c r="F52" i="66"/>
  <c r="N67" i="30"/>
  <c r="H91" i="42"/>
  <c r="I40" i="93"/>
  <c r="E39" i="68"/>
  <c r="F45" i="62"/>
  <c r="H28" i="93"/>
  <c r="M71" i="34"/>
  <c r="M88" i="25"/>
  <c r="G37" i="73"/>
  <c r="J26" i="61"/>
  <c r="F38" i="41"/>
  <c r="J107" i="48"/>
  <c r="G27" i="40"/>
  <c r="N62" i="60"/>
  <c r="G43"/>
  <c r="O92" i="43"/>
  <c r="J14" i="54"/>
  <c r="K7" i="40"/>
  <c r="E98" i="59"/>
  <c r="G92" i="85"/>
  <c r="J4" i="35"/>
  <c r="G29" i="82"/>
  <c r="L36" i="81"/>
  <c r="E44" i="50"/>
  <c r="G103" i="46"/>
  <c r="M92" i="35"/>
  <c r="M62" i="49"/>
  <c r="I40" i="61"/>
  <c r="F18" i="89"/>
  <c r="G94" i="47"/>
  <c r="I30" i="62"/>
  <c r="O89" i="53"/>
  <c r="K55" i="56"/>
  <c r="L29" i="68"/>
  <c r="L41" i="34"/>
  <c r="K86" i="60"/>
  <c r="I62" i="46"/>
  <c r="I107" i="73"/>
  <c r="E62" i="60"/>
  <c r="L45" i="75"/>
  <c r="N45" i="65"/>
  <c r="G42" i="63"/>
  <c r="E58" i="25"/>
  <c r="H53" i="79"/>
  <c r="E32" i="86"/>
  <c r="K6" i="65"/>
  <c r="G4" i="39"/>
  <c r="M86" i="65"/>
  <c r="L74" i="74"/>
  <c r="I67" i="86"/>
  <c r="F82" i="91"/>
  <c r="E36" i="33"/>
  <c r="F15" i="40"/>
  <c r="H10" i="73"/>
  <c r="L38" i="38"/>
  <c r="N46" i="69"/>
  <c r="F107" i="82"/>
  <c r="O7" i="86"/>
  <c r="E28" i="36"/>
  <c r="I32" i="78"/>
  <c r="M57" i="89"/>
  <c r="G25" i="36"/>
  <c r="F26" i="33"/>
  <c r="K45" i="71"/>
  <c r="M82" i="73"/>
  <c r="L27" i="71"/>
  <c r="J61" i="54"/>
  <c r="E56" i="40"/>
  <c r="M38" i="30"/>
  <c r="J20" i="39"/>
  <c r="L64" i="33"/>
  <c r="E59" i="29"/>
  <c r="I17" i="49"/>
  <c r="J77" i="83"/>
  <c r="D7" i="25"/>
  <c r="I21" i="39"/>
  <c r="L98" i="62"/>
  <c r="G97" i="64"/>
  <c r="O33" i="44"/>
  <c r="H59" i="50"/>
  <c r="F27" i="38"/>
  <c r="H27" i="83"/>
  <c r="J54" i="66"/>
  <c r="M85" i="29"/>
  <c r="H106" i="68"/>
  <c r="J37" i="29"/>
  <c r="L37" i="66"/>
  <c r="H50" i="72"/>
  <c r="J71"/>
  <c r="E14" i="83"/>
  <c r="L45" i="93"/>
  <c r="I25" i="19"/>
  <c r="N34" i="54"/>
  <c r="L40" i="83"/>
  <c r="L98" i="84"/>
  <c r="J103" i="87"/>
  <c r="H104" i="65"/>
  <c r="O4" i="61"/>
  <c r="M35" i="25"/>
  <c r="F73" i="64"/>
  <c r="D39" i="34"/>
  <c r="G32" i="35"/>
  <c r="O95" i="48"/>
  <c r="G88" i="84"/>
  <c r="I35" i="86"/>
  <c r="L74" i="90"/>
  <c r="G24" i="47"/>
  <c r="F67" i="46"/>
  <c r="F51" i="44"/>
  <c r="I52" i="83"/>
  <c r="F26" i="26"/>
  <c r="E48" i="76"/>
  <c r="L62" i="87"/>
  <c r="I97" i="51"/>
  <c r="O23" i="53"/>
  <c r="D22" i="85"/>
  <c r="G22" i="81"/>
  <c r="N48" i="80"/>
  <c r="G41" i="74"/>
  <c r="F34" i="26"/>
  <c r="I34" i="83"/>
  <c r="J28" i="60"/>
  <c r="D16" i="90"/>
  <c r="N91" i="63"/>
  <c r="N55" i="60"/>
  <c r="L20" i="72"/>
  <c r="L9" i="60"/>
  <c r="G30" i="49"/>
  <c r="L95" i="34"/>
  <c r="G36" i="27"/>
  <c r="M104" i="81"/>
  <c r="H47" i="48"/>
  <c r="L104" i="73"/>
  <c r="E82" i="29"/>
  <c r="I49" i="26"/>
  <c r="J32" i="40"/>
  <c r="J19" i="84"/>
  <c r="G100" i="89"/>
  <c r="E38" i="42"/>
  <c r="N52" i="87"/>
  <c r="F25" i="66"/>
  <c r="E71" i="30"/>
  <c r="G26" i="47"/>
  <c r="D79" i="81"/>
  <c r="F104" i="38"/>
  <c r="L65" i="83"/>
  <c r="K67" i="53"/>
  <c r="M59" i="63"/>
  <c r="K103" i="41"/>
  <c r="L33" i="74"/>
  <c r="F95" i="26"/>
  <c r="D26" i="59"/>
  <c r="O97" i="45"/>
  <c r="N32" i="41"/>
  <c r="L15" i="80"/>
  <c r="O94" i="77"/>
  <c r="E91" i="63"/>
  <c r="L91" i="94"/>
  <c r="H51" i="44"/>
  <c r="N50" i="65"/>
  <c r="G65" i="46"/>
  <c r="H43" i="93"/>
  <c r="J47" i="63"/>
  <c r="N49" i="78"/>
  <c r="K28"/>
  <c r="D47" i="85"/>
  <c r="D98" i="36"/>
  <c r="E89" i="50"/>
  <c r="G44" i="68"/>
  <c r="N51" i="41"/>
  <c r="D20" i="85"/>
  <c r="E73" i="58"/>
  <c r="D37"/>
  <c r="I61" i="45"/>
  <c r="K17" i="76"/>
  <c r="G6" i="92"/>
  <c r="M97" i="53"/>
  <c r="L36" i="51"/>
  <c r="O67" i="92"/>
  <c r="G48" i="73"/>
  <c r="H86" i="44"/>
  <c r="J57" i="50"/>
  <c r="N8" i="49"/>
  <c r="M98" i="82"/>
  <c r="K94" i="73"/>
  <c r="D47" i="74"/>
  <c r="J106" i="59"/>
  <c r="F67"/>
  <c r="I88" i="76"/>
  <c r="F11" i="75"/>
  <c r="N38" i="36"/>
  <c r="H47" i="83"/>
  <c r="F85" i="33"/>
  <c r="H58" i="64"/>
  <c r="N38" i="82"/>
  <c r="N33" i="59"/>
  <c r="E16" i="94"/>
  <c r="J6" i="64"/>
  <c r="J98" i="72"/>
  <c r="N86" i="32"/>
  <c r="I85" i="92"/>
  <c r="M6" i="77"/>
  <c r="M53"/>
  <c r="K70" i="54"/>
  <c r="N36" i="39"/>
  <c r="G70" i="53"/>
  <c r="G17" i="32"/>
  <c r="E80" i="71"/>
  <c r="E31" i="57"/>
  <c r="I57" i="25"/>
  <c r="J14" i="67"/>
  <c r="O42" i="43"/>
  <c r="L101" i="82"/>
  <c r="O74" i="27"/>
  <c r="J101" i="86"/>
  <c r="N58" i="49"/>
  <c r="K61" i="67"/>
  <c r="G27" i="48"/>
  <c r="M34" i="19"/>
  <c r="O6" i="93"/>
  <c r="H59" i="46"/>
  <c r="D9" i="32"/>
  <c r="K64" i="91"/>
  <c r="E68" i="33"/>
  <c r="K27" i="51"/>
  <c r="M68" i="60"/>
  <c r="J32" i="84"/>
  <c r="F77" i="56"/>
  <c r="G67" i="73"/>
  <c r="J73" i="62"/>
  <c r="F39" i="51"/>
  <c r="H45" i="58"/>
  <c r="E38" i="67"/>
  <c r="I56" i="36"/>
  <c r="E67" i="53"/>
  <c r="G20" i="58"/>
  <c r="E22" i="94"/>
  <c r="N48" i="82"/>
  <c r="I85" i="79"/>
  <c r="I8" i="19"/>
  <c r="H13" i="33"/>
  <c r="O12" i="76"/>
  <c r="J103" i="35"/>
  <c r="I15" i="57"/>
  <c r="L50" i="53"/>
  <c r="H76" i="92"/>
  <c r="K107" i="55"/>
  <c r="O15" i="54"/>
  <c r="I6" i="74"/>
  <c r="H51" i="92"/>
  <c r="E95" i="84"/>
  <c r="L39" i="36"/>
  <c r="F53" i="89"/>
  <c r="M21" i="48"/>
  <c r="D97" i="45"/>
  <c r="N50" i="19"/>
  <c r="I68" i="40"/>
  <c r="K71" i="36"/>
  <c r="J12" i="44"/>
  <c r="F101" i="77"/>
  <c r="M92" i="94"/>
  <c r="O41" i="91"/>
  <c r="N100" i="86"/>
  <c r="E55" i="94"/>
  <c r="O5" i="91"/>
  <c r="D35" i="40"/>
  <c r="E83" i="63"/>
  <c r="H33" i="30"/>
  <c r="K76" i="32"/>
  <c r="D22" i="81"/>
  <c r="N13" i="65"/>
  <c r="D32" i="59"/>
  <c r="E61" i="81"/>
  <c r="M61" i="76"/>
  <c r="E19" i="55"/>
  <c r="K91" i="69"/>
  <c r="L43" i="83"/>
  <c r="F25" i="40"/>
  <c r="N89" i="19"/>
  <c r="J54" i="60"/>
  <c r="K62" i="39"/>
  <c r="M82" i="57"/>
  <c r="D103" i="36"/>
  <c r="K104" i="41"/>
  <c r="D19" i="91"/>
  <c r="L71" i="56"/>
  <c r="D88" i="51"/>
  <c r="J36" i="61"/>
  <c r="K17" i="70"/>
  <c r="G20" i="19"/>
  <c r="N22" i="83"/>
  <c r="I12" i="47"/>
  <c r="F68" i="52"/>
  <c r="H70" i="85"/>
  <c r="E52" i="92"/>
  <c r="L89" i="27"/>
  <c r="I85" i="30"/>
  <c r="N65" i="49"/>
  <c r="O101" i="51"/>
  <c r="K37" i="38"/>
  <c r="J18" i="35"/>
  <c r="O33" i="54"/>
  <c r="E8" i="76"/>
  <c r="J98" i="64"/>
  <c r="E97" i="82"/>
  <c r="H76" i="41"/>
  <c r="D33" i="60"/>
  <c r="H44" i="62"/>
  <c r="E97" i="85"/>
  <c r="D30" i="70"/>
  <c r="K51" i="47"/>
  <c r="J95" i="19"/>
  <c r="E25" i="75"/>
  <c r="K103" i="27"/>
  <c r="J25" i="30"/>
  <c r="I97" i="93"/>
  <c r="M34" i="35"/>
  <c r="L71" i="45"/>
  <c r="I98" i="90"/>
  <c r="F83" i="56"/>
  <c r="M6" i="94"/>
  <c r="O56" i="44"/>
  <c r="H101" i="66"/>
  <c r="E97" i="36"/>
  <c r="F8" i="41"/>
  <c r="N58" i="60"/>
  <c r="J57" i="64"/>
  <c r="H43" i="90"/>
  <c r="F86" i="42"/>
  <c r="I47" i="80"/>
  <c r="E7" i="60"/>
  <c r="M36" i="68"/>
  <c r="K31" i="33"/>
  <c r="J61" i="79"/>
  <c r="N101" i="29"/>
  <c r="E22" i="30"/>
  <c r="M24" i="41"/>
  <c r="K79" i="49"/>
  <c r="O25" i="86"/>
  <c r="D29" i="48"/>
  <c r="E17" i="33"/>
  <c r="E43" i="32"/>
  <c r="M32" i="27"/>
  <c r="K97" i="38"/>
  <c r="G56" i="63"/>
  <c r="G32" i="89"/>
  <c r="N9" i="72"/>
  <c r="F23" i="69"/>
  <c r="J98" i="40"/>
  <c r="E94" i="56"/>
  <c r="I61" i="91"/>
  <c r="M95" i="34"/>
  <c r="O6"/>
  <c r="K49" i="36"/>
  <c r="F53" i="38"/>
  <c r="E28" i="26"/>
  <c r="E107" i="73"/>
  <c r="L94" i="34"/>
  <c r="L85" i="77"/>
  <c r="J58" i="55"/>
  <c r="H65" i="92"/>
  <c r="N48" i="38"/>
  <c r="J24"/>
  <c r="E32" i="93"/>
  <c r="I11" i="34"/>
  <c r="I23" i="69"/>
  <c r="M37" i="33"/>
  <c r="E61" i="55"/>
  <c r="L86" i="81"/>
  <c r="I98" i="70"/>
  <c r="N73" i="74"/>
  <c r="E13" i="32"/>
  <c r="I25" i="53"/>
  <c r="M38" i="38"/>
  <c r="N61" i="55"/>
  <c r="H29" i="53"/>
  <c r="N100" i="91"/>
  <c r="G36" i="29"/>
  <c r="L59" i="91"/>
  <c r="G17" i="94"/>
  <c r="I79" i="87"/>
  <c r="J17" i="27"/>
  <c r="G55" i="83"/>
  <c r="H61" i="59"/>
  <c r="K86" i="40"/>
  <c r="L88" i="68"/>
  <c r="D77" i="29"/>
  <c r="G95" i="55"/>
  <c r="F107" i="71"/>
  <c r="M58" i="39"/>
  <c r="M36" i="61"/>
  <c r="F92" i="33"/>
  <c r="I46" i="75"/>
  <c r="K29" i="30"/>
  <c r="L80" i="67"/>
  <c r="E89"/>
  <c r="G47" i="83"/>
  <c r="I88" i="74"/>
  <c r="F22" i="61"/>
  <c r="I44" i="33"/>
  <c r="J65" i="35"/>
  <c r="L86" i="69"/>
  <c r="G24" i="40"/>
  <c r="E95" i="52"/>
  <c r="F71" i="54"/>
  <c r="E36" i="45"/>
  <c r="J48" i="49"/>
  <c r="F32" i="66"/>
  <c r="I36" i="94"/>
  <c r="M20" i="27"/>
  <c r="O36" i="59"/>
  <c r="M35" i="44"/>
  <c r="M71" i="69"/>
  <c r="K19" i="44"/>
  <c r="N14" i="57"/>
  <c r="G35" i="51"/>
  <c r="D27" i="73"/>
  <c r="L71" i="40"/>
  <c r="H88" i="30"/>
  <c r="N83" i="54"/>
  <c r="F34" i="44"/>
  <c r="K83" i="49"/>
  <c r="H36" i="94"/>
  <c r="F24" i="40"/>
  <c r="K95" i="93"/>
  <c r="K18" i="60"/>
  <c r="M71" i="67"/>
  <c r="L64" i="54"/>
  <c r="J91" i="67"/>
  <c r="O98" i="91"/>
  <c r="F29" i="82"/>
  <c r="D46" i="41"/>
  <c r="D26" i="56"/>
  <c r="E28" i="55"/>
  <c r="J5" i="50"/>
  <c r="I14" i="85"/>
  <c r="F74" i="72"/>
  <c r="O61" i="36"/>
  <c r="I103" i="51"/>
  <c r="F5" i="44"/>
  <c r="I57" i="50"/>
  <c r="F40" i="73"/>
  <c r="E91" i="44"/>
  <c r="L43" i="69"/>
  <c r="F61" i="63"/>
  <c r="O95" i="92"/>
  <c r="K71" i="46"/>
  <c r="M28" i="78"/>
  <c r="I55" i="25"/>
  <c r="K62" i="63"/>
  <c r="I50" i="75"/>
  <c r="K59" i="83"/>
  <c r="F42" i="43"/>
  <c r="F83" i="59"/>
  <c r="M86" i="25"/>
  <c r="D16" i="80"/>
  <c r="L91" i="78"/>
  <c r="O38" i="87"/>
  <c r="F98" i="53"/>
  <c r="J36" i="39"/>
  <c r="G18" i="91"/>
  <c r="M31" i="93"/>
  <c r="D27" i="86"/>
  <c r="K20" i="45"/>
  <c r="J5" i="73"/>
  <c r="M58" i="68"/>
  <c r="O14" i="51"/>
  <c r="J27" i="86"/>
  <c r="K77" i="35"/>
  <c r="L39" i="87"/>
  <c r="D83" i="56"/>
  <c r="M25" i="89"/>
  <c r="I62" i="42"/>
  <c r="L44" i="80"/>
  <c r="I13" i="83"/>
  <c r="J25" i="34"/>
  <c r="M82" i="60"/>
  <c r="G14" i="33"/>
  <c r="E95" i="89"/>
  <c r="K12" i="56"/>
  <c r="O44" i="45"/>
  <c r="J91" i="25"/>
  <c r="E33" i="53"/>
  <c r="K13" i="90"/>
  <c r="M14" i="74"/>
  <c r="L19" i="59"/>
  <c r="G58" i="44"/>
  <c r="O16" i="33"/>
  <c r="E55" i="30"/>
  <c r="H94" i="40"/>
  <c r="H97" i="66"/>
  <c r="G33" i="64"/>
  <c r="O25" i="25"/>
  <c r="G94" i="60"/>
  <c r="E20" i="34"/>
  <c r="N8" i="82"/>
  <c r="K33" i="76"/>
  <c r="F31" i="93"/>
  <c r="H104" i="86"/>
  <c r="E85" i="74"/>
  <c r="N29" i="92"/>
  <c r="L42" i="53"/>
  <c r="I76" i="36"/>
  <c r="L42" i="64"/>
  <c r="G83" i="35"/>
  <c r="O36" i="19"/>
  <c r="H107" i="54"/>
  <c r="K19" i="92"/>
  <c r="F15" i="64"/>
  <c r="E76" i="69"/>
  <c r="N31" i="78"/>
  <c r="M33" i="49"/>
  <c r="N103" i="93"/>
  <c r="K107" i="76"/>
  <c r="G9" i="48"/>
  <c r="K92" i="91"/>
  <c r="L51" i="34"/>
  <c r="N14" i="76"/>
  <c r="O32" i="62"/>
  <c r="E38" i="79"/>
  <c r="D12" i="87"/>
  <c r="M104" i="58"/>
  <c r="O59" i="49"/>
  <c r="G54" i="59"/>
  <c r="I38" i="33"/>
  <c r="F58" i="66"/>
  <c r="G8" i="93"/>
  <c r="M50" i="70"/>
  <c r="N45" i="26"/>
  <c r="G46" i="30"/>
  <c r="I68" i="85"/>
  <c r="F24" i="32"/>
  <c r="D73" i="86"/>
  <c r="J12" i="51"/>
  <c r="D77" i="52"/>
  <c r="O24" i="59"/>
  <c r="H18" i="50"/>
  <c r="E25" i="53"/>
  <c r="L53" i="80"/>
  <c r="K26" i="44"/>
  <c r="G26" i="82"/>
  <c r="K97" i="43"/>
  <c r="M21" i="73"/>
  <c r="I77" i="65"/>
  <c r="H45" i="89"/>
  <c r="E40" i="39"/>
  <c r="N10" i="55"/>
  <c r="M88" i="58"/>
  <c r="O88" i="92"/>
  <c r="H53"/>
  <c r="E18" i="87"/>
  <c r="G31" i="45"/>
  <c r="I55" i="61"/>
  <c r="K89" i="34"/>
  <c r="G36" i="75"/>
  <c r="N29" i="27"/>
  <c r="D101" i="85"/>
  <c r="M53" i="93"/>
  <c r="D98" i="72"/>
  <c r="M39" i="73"/>
  <c r="I64" i="94"/>
  <c r="M101" i="84"/>
  <c r="I98" i="38"/>
  <c r="D13" i="92"/>
  <c r="E70" i="77"/>
  <c r="D74" i="85"/>
  <c r="O56" i="62"/>
  <c r="H103" i="85"/>
  <c r="M101" i="38"/>
  <c r="D21" i="65"/>
  <c r="O88" i="44"/>
  <c r="G11" i="40"/>
  <c r="L76" i="66"/>
  <c r="L35" i="36"/>
  <c r="J46" i="91"/>
  <c r="F74" i="65"/>
  <c r="N51" i="80"/>
  <c r="H103"/>
  <c r="F18" i="63"/>
  <c r="H68" i="80"/>
  <c r="I50" i="91"/>
  <c r="M58" i="27"/>
  <c r="E39" i="85"/>
  <c r="G54" i="27"/>
  <c r="J83" i="92"/>
  <c r="M67" i="57"/>
  <c r="E43" i="91"/>
  <c r="E13" i="71"/>
  <c r="D86" i="61"/>
  <c r="E67" i="47"/>
  <c r="M54" i="33"/>
  <c r="O31" i="78"/>
  <c r="N59" i="33"/>
  <c r="M47" i="25"/>
  <c r="F67" i="83"/>
  <c r="L11" i="72"/>
  <c r="K18" i="55"/>
  <c r="F67" i="34"/>
  <c r="F18" i="51"/>
  <c r="D104" i="36"/>
  <c r="F85" i="83"/>
  <c r="E15" i="45"/>
  <c r="J21" i="61"/>
  <c r="N24" i="41"/>
  <c r="J39" i="65"/>
  <c r="L46" i="51"/>
  <c r="F73" i="34"/>
  <c r="M83" i="64"/>
  <c r="O23" i="69"/>
  <c r="F23" i="70"/>
  <c r="N42" i="81"/>
  <c r="O16" i="76"/>
  <c r="K19" i="30"/>
  <c r="N9" i="75"/>
  <c r="J37" i="57"/>
  <c r="N36" i="44"/>
  <c r="M94" i="61"/>
  <c r="G4" i="83"/>
  <c r="N8" i="55"/>
  <c r="F50" i="58"/>
  <c r="D98" i="51"/>
  <c r="L18" i="90"/>
  <c r="F8" i="42"/>
  <c r="J82" i="73"/>
  <c r="M54" i="54"/>
  <c r="O49" i="94"/>
  <c r="L48" i="61"/>
  <c r="O106" i="27"/>
  <c r="M106" i="76"/>
  <c r="L43" i="71"/>
  <c r="L54" i="34"/>
  <c r="K12" i="43"/>
  <c r="D71" i="39"/>
  <c r="I48" i="76"/>
  <c r="D19" i="48"/>
  <c r="I46" i="80"/>
  <c r="I104" i="45"/>
  <c r="M24" i="57"/>
  <c r="D49" i="34"/>
  <c r="G101" i="49"/>
  <c r="G42" i="62"/>
  <c r="G24" i="42"/>
  <c r="O18" i="74"/>
  <c r="D48" i="41"/>
  <c r="H55"/>
  <c r="F38" i="29"/>
  <c r="F82" i="72"/>
  <c r="F7" i="47"/>
  <c r="J22" i="32"/>
  <c r="G50" i="85"/>
  <c r="J106" i="77"/>
  <c r="H89" i="76"/>
  <c r="I41" i="84"/>
  <c r="J64" i="89"/>
  <c r="D71" i="47"/>
  <c r="D22" i="44"/>
  <c r="L17" i="69"/>
  <c r="O64" i="41"/>
  <c r="J18" i="83"/>
  <c r="F7" i="50"/>
  <c r="D46" i="87"/>
  <c r="H8" i="71"/>
  <c r="D44" i="33"/>
  <c r="M19" i="65"/>
  <c r="M26" i="62"/>
  <c r="I67" i="19"/>
  <c r="F48" i="87"/>
  <c r="E98" i="92"/>
  <c r="N47" i="25"/>
  <c r="K37"/>
  <c r="M26" i="83"/>
  <c r="L94" i="36"/>
  <c r="O6" i="64"/>
  <c r="G22" i="93"/>
  <c r="O64" i="64"/>
  <c r="D19" i="44"/>
  <c r="L44" i="58"/>
  <c r="D97" i="81"/>
  <c r="I103" i="36"/>
  <c r="J42" i="70"/>
  <c r="I36" i="90"/>
  <c r="J101" i="40"/>
  <c r="J23" i="62"/>
  <c r="G42" i="71"/>
  <c r="M97" i="57"/>
  <c r="N27" i="82"/>
  <c r="K104" i="69"/>
  <c r="J52" i="44"/>
  <c r="M61" i="34"/>
  <c r="I25" i="69"/>
  <c r="F4" i="84"/>
  <c r="D44" i="53"/>
  <c r="L92" i="27"/>
  <c r="M18" i="87"/>
  <c r="H101" i="94"/>
  <c r="K73" i="71"/>
  <c r="H32" i="74"/>
  <c r="N58" i="41"/>
  <c r="E44" i="47"/>
  <c r="J106" i="73"/>
  <c r="I25" i="79"/>
  <c r="J20" i="89"/>
  <c r="G16" i="52"/>
  <c r="D83" i="58"/>
  <c r="L44" i="36"/>
  <c r="D45" i="72"/>
  <c r="N107" i="81"/>
  <c r="K88" i="72"/>
  <c r="D74" i="42"/>
  <c r="N95" i="74"/>
  <c r="G82" i="40"/>
  <c r="M48" i="35"/>
  <c r="I11" i="84"/>
  <c r="N53" i="71"/>
  <c r="G58" i="26"/>
  <c r="N11" i="55"/>
  <c r="F28" i="82"/>
  <c r="F74" i="89"/>
  <c r="O16" i="84"/>
  <c r="H65" i="27"/>
  <c r="I22" i="64"/>
  <c r="J56" i="94"/>
  <c r="F57" i="73"/>
  <c r="L18" i="60"/>
  <c r="F77" i="90"/>
  <c r="G95"/>
  <c r="I98" i="56"/>
  <c r="M51" i="73"/>
  <c r="I15" i="80"/>
  <c r="H4" i="34"/>
  <c r="F61" i="40"/>
  <c r="O19" i="72"/>
  <c r="H70" i="83"/>
  <c r="G31" i="32"/>
  <c r="O19" i="25"/>
  <c r="G92"/>
  <c r="H14" i="77"/>
  <c r="H24" i="71"/>
  <c r="D62" i="27"/>
  <c r="J89" i="72"/>
  <c r="M49" i="57"/>
  <c r="M39" i="86"/>
  <c r="I8" i="71"/>
  <c r="L4" i="54"/>
  <c r="J20" i="64"/>
  <c r="J44" i="90"/>
  <c r="J51" i="77"/>
  <c r="G33" i="89"/>
  <c r="E13" i="33"/>
  <c r="E101" i="27"/>
  <c r="L71" i="81"/>
  <c r="O67" i="66"/>
  <c r="O38" i="32"/>
  <c r="I51" i="45"/>
  <c r="E92" i="63"/>
  <c r="O106" i="94"/>
  <c r="H41" i="50"/>
  <c r="G101" i="60"/>
  <c r="F5" i="41"/>
  <c r="D35"/>
  <c r="H39" i="86"/>
  <c r="N39" i="53"/>
  <c r="D67" i="38"/>
  <c r="D85" i="36"/>
  <c r="E29" i="81"/>
  <c r="K83" i="44"/>
  <c r="K36" i="64"/>
  <c r="H56" i="73"/>
  <c r="D55" i="86"/>
  <c r="O76" i="80"/>
  <c r="H55" i="74"/>
  <c r="I42" i="27"/>
  <c r="D25" i="77"/>
  <c r="I104" i="69"/>
  <c r="N100" i="62"/>
  <c r="I62" i="51"/>
  <c r="I13" i="49"/>
  <c r="K55" i="73"/>
  <c r="H42" i="56"/>
  <c r="N51" i="75"/>
  <c r="G98" i="67"/>
  <c r="O50" i="82"/>
  <c r="K40" i="33"/>
  <c r="O88" i="30"/>
  <c r="H27" i="59"/>
  <c r="O80" i="48"/>
  <c r="L27" i="59"/>
  <c r="N22" i="19"/>
  <c r="G54" i="67"/>
  <c r="G68" i="85"/>
  <c r="G43" i="35"/>
  <c r="D95" i="93"/>
  <c r="H97" i="50"/>
  <c r="D37" i="84"/>
  <c r="N62" i="57"/>
  <c r="I98" i="53"/>
  <c r="G45" i="34"/>
  <c r="K9" i="86"/>
  <c r="I10" i="53"/>
  <c r="H26" i="29"/>
  <c r="M79" i="49"/>
  <c r="L7" i="51"/>
  <c r="N52" i="90"/>
  <c r="M73" i="74"/>
  <c r="D103" i="84"/>
  <c r="G91" i="91"/>
  <c r="I31" i="93"/>
  <c r="O27" i="77"/>
  <c r="M103" i="35"/>
  <c r="F100" i="64"/>
  <c r="G47" i="82"/>
  <c r="O31" i="54"/>
  <c r="K104" i="82"/>
  <c r="L104" i="93"/>
  <c r="G54" i="91"/>
  <c r="M46" i="62"/>
  <c r="L59" i="35"/>
  <c r="D74" i="53"/>
  <c r="L97" i="73"/>
  <c r="D4"/>
  <c r="H10" i="86"/>
  <c r="M85" i="41"/>
  <c r="L14" i="93"/>
  <c r="E73" i="39"/>
  <c r="N9" i="48"/>
  <c r="K103" i="69"/>
  <c r="E54" i="40"/>
  <c r="E89" i="27"/>
  <c r="K73" i="74"/>
  <c r="I13"/>
  <c r="K44" i="58"/>
  <c r="G45" i="65"/>
  <c r="N38" i="45"/>
  <c r="N29" i="59"/>
  <c r="G51" i="57"/>
  <c r="E45" i="32"/>
  <c r="H23"/>
  <c r="I79" i="84"/>
  <c r="H52" i="71"/>
  <c r="H97" i="91"/>
  <c r="M20" i="63"/>
  <c r="I39" i="85"/>
  <c r="N57" i="77"/>
  <c r="O14" i="74"/>
  <c r="E85" i="38"/>
  <c r="M27" i="74"/>
  <c r="E49" i="19"/>
  <c r="E24" i="57"/>
  <c r="H61" i="82"/>
  <c r="I107" i="75"/>
  <c r="E18" i="58"/>
  <c r="J41" i="51"/>
  <c r="F6" i="49"/>
  <c r="F31" i="70"/>
  <c r="I8" i="73"/>
  <c r="F32" i="59"/>
  <c r="I47" i="19"/>
  <c r="O97" i="35"/>
  <c r="I91" i="39"/>
  <c r="M33" i="40"/>
  <c r="I27" i="80"/>
  <c r="O9" i="69"/>
  <c r="K71" i="80"/>
  <c r="K47" i="43"/>
  <c r="K76" i="82"/>
  <c r="N40" i="84"/>
  <c r="N38" i="59"/>
  <c r="J54" i="40"/>
  <c r="E44" i="93"/>
  <c r="L40" i="64"/>
  <c r="F65" i="52"/>
  <c r="E22" i="67"/>
  <c r="F92" i="91"/>
  <c r="N38" i="67"/>
  <c r="K21" i="74"/>
  <c r="N106" i="29"/>
  <c r="M97" i="87"/>
  <c r="I36" i="65"/>
  <c r="J29" i="44"/>
  <c r="L92" i="54"/>
  <c r="O107" i="73"/>
  <c r="L104" i="82"/>
  <c r="I39" i="27"/>
  <c r="F5" i="94"/>
  <c r="O14" i="72"/>
  <c r="L16" i="82"/>
  <c r="K43" i="80"/>
  <c r="J89" i="90"/>
  <c r="D16" i="86"/>
  <c r="I101" i="57"/>
  <c r="I95" i="63"/>
  <c r="G53" i="92"/>
  <c r="I35" i="35"/>
  <c r="G13" i="55"/>
  <c r="M14" i="80"/>
  <c r="I92" i="57"/>
  <c r="K100" i="80"/>
  <c r="G17" i="68"/>
  <c r="L42" i="43"/>
  <c r="E37" i="29"/>
  <c r="K88" i="40"/>
  <c r="I28" i="30"/>
  <c r="J32" i="94"/>
  <c r="N17" i="59"/>
  <c r="G10" i="27"/>
  <c r="M21" i="44"/>
  <c r="K8" i="26"/>
  <c r="J55" i="69"/>
  <c r="M36" i="89"/>
  <c r="N74" i="34"/>
  <c r="L29" i="66"/>
  <c r="I36" i="44"/>
  <c r="D48" i="89"/>
  <c r="O21" i="87"/>
  <c r="K70" i="70"/>
  <c r="K61" i="27"/>
  <c r="M4" i="75"/>
  <c r="I22" i="84"/>
  <c r="I15" i="89"/>
  <c r="O22" i="45"/>
  <c r="H46" i="93"/>
  <c r="E98" i="33"/>
  <c r="L41" i="46"/>
  <c r="D15" i="35"/>
  <c r="L88" i="40"/>
  <c r="E101" i="33"/>
  <c r="E11" i="92"/>
  <c r="D31" i="27"/>
  <c r="N16" i="57"/>
  <c r="H15" i="76"/>
  <c r="I46" i="73"/>
  <c r="I34" i="50"/>
  <c r="F59" i="77"/>
  <c r="E83" i="34"/>
  <c r="I12" i="89"/>
  <c r="K11" i="34"/>
  <c r="O57" i="53"/>
  <c r="H73" i="78"/>
  <c r="E18" i="42"/>
  <c r="E17" i="26"/>
  <c r="I11" i="82"/>
  <c r="O80" i="69"/>
  <c r="G95" i="44"/>
  <c r="I33" i="71"/>
  <c r="N29" i="69"/>
  <c r="G57" i="51"/>
  <c r="H31" i="72"/>
  <c r="D86" i="91"/>
  <c r="G40" i="38"/>
  <c r="G12" i="73"/>
  <c r="N4" i="75"/>
  <c r="E49" i="57"/>
  <c r="D74" i="92"/>
  <c r="H4" i="80"/>
  <c r="D95" i="27"/>
  <c r="N5" i="32"/>
  <c r="H50" i="45"/>
  <c r="K8" i="47"/>
  <c r="N41" i="54"/>
  <c r="F33" i="62"/>
  <c r="H51" i="41"/>
  <c r="D16" i="79"/>
  <c r="E17" i="94"/>
  <c r="N19" i="70"/>
  <c r="D42" i="19"/>
  <c r="N5" i="74"/>
  <c r="M44" i="72"/>
  <c r="M68" i="26"/>
  <c r="H57" i="91"/>
  <c r="F22" i="87"/>
  <c r="E29" i="27"/>
  <c r="O9" i="61"/>
  <c r="O43" i="93"/>
  <c r="F16" i="66"/>
  <c r="F5" i="45"/>
  <c r="D56" i="50"/>
  <c r="F65" i="30"/>
  <c r="L51" i="90"/>
  <c r="F25"/>
  <c r="G13" i="77"/>
  <c r="K10" i="34"/>
  <c r="L13" i="61"/>
  <c r="E13" i="47"/>
  <c r="I18" i="50"/>
  <c r="J54" i="30"/>
  <c r="L25" i="66"/>
  <c r="L36" i="29"/>
  <c r="K19" i="38"/>
  <c r="H25" i="67"/>
  <c r="J65" i="73"/>
  <c r="F35" i="74"/>
  <c r="O100" i="68"/>
  <c r="K37" i="29"/>
  <c r="F4" i="93"/>
  <c r="I37" i="74"/>
  <c r="M57" i="34"/>
  <c r="H77" i="33"/>
  <c r="N28" i="82"/>
  <c r="N46" i="41"/>
  <c r="H82" i="69"/>
  <c r="M25" i="51"/>
  <c r="F51" i="79"/>
  <c r="D106" i="34"/>
  <c r="G30" i="59"/>
  <c r="E40" i="71"/>
  <c r="F91" i="33"/>
  <c r="N18" i="93"/>
  <c r="O50" i="45"/>
  <c r="O34" i="91"/>
  <c r="I46" i="82"/>
  <c r="L10" i="64"/>
  <c r="D9" i="68"/>
  <c r="J91" i="61"/>
  <c r="F7" i="58"/>
  <c r="O31" i="68"/>
  <c r="I7" i="60"/>
  <c r="F43" i="72"/>
  <c r="I82" i="45"/>
  <c r="H38" i="67"/>
  <c r="D43" i="58"/>
  <c r="G39" i="80"/>
  <c r="M8" i="36"/>
  <c r="N24" i="84"/>
  <c r="M51" i="72"/>
  <c r="E16" i="48"/>
  <c r="J33" i="39"/>
  <c r="N57" i="43"/>
  <c r="O16" i="94"/>
  <c r="M51" i="63"/>
  <c r="K53" i="84"/>
  <c r="K42" i="93"/>
  <c r="E77" i="35"/>
  <c r="K58" i="38"/>
  <c r="K52" i="58"/>
  <c r="H4" i="79"/>
  <c r="J92" i="38"/>
  <c r="M20" i="82"/>
  <c r="H67" i="86"/>
  <c r="L91" i="76"/>
  <c r="O71" i="84"/>
  <c r="F44" i="63"/>
  <c r="O61" i="68"/>
  <c r="G89" i="59"/>
  <c r="N56" i="39"/>
  <c r="M64" i="35"/>
  <c r="D50" i="66"/>
  <c r="M46" i="47"/>
  <c r="G6" i="54"/>
  <c r="M100"/>
  <c r="H48" i="51"/>
  <c r="L44" i="66"/>
  <c r="D48" i="51"/>
  <c r="E33" i="84"/>
  <c r="N57" i="51"/>
  <c r="L51" i="19"/>
  <c r="M86" i="67"/>
  <c r="M12" i="32"/>
  <c r="I53" i="36"/>
  <c r="N35" i="43"/>
  <c r="H36" i="46"/>
  <c r="M17" i="66"/>
  <c r="H29" i="44"/>
  <c r="O58" i="34"/>
  <c r="J80" i="35"/>
  <c r="M49" i="39"/>
  <c r="I7" i="73"/>
  <c r="M86" i="71"/>
  <c r="I95" i="86"/>
  <c r="J23" i="72"/>
  <c r="D24" i="91"/>
  <c r="H42" i="75"/>
  <c r="F55" i="47"/>
  <c r="G86" i="44"/>
  <c r="M31" i="56"/>
  <c r="N27" i="47"/>
  <c r="E74" i="68"/>
  <c r="O76" i="71"/>
  <c r="N16" i="34"/>
  <c r="M43" i="63"/>
  <c r="D31" i="90"/>
  <c r="D19" i="36"/>
  <c r="I56" i="84"/>
  <c r="K24" i="39"/>
  <c r="L62" i="66"/>
  <c r="O20" i="19"/>
  <c r="D13" i="44"/>
  <c r="D77" i="25"/>
  <c r="N43" i="67"/>
  <c r="F31" i="65"/>
  <c r="D71" i="54"/>
  <c r="M53" i="82"/>
  <c r="G62" i="30"/>
  <c r="N7" i="19"/>
  <c r="F17" i="43"/>
  <c r="G41" i="45"/>
  <c r="L22" i="38"/>
  <c r="K29" i="55"/>
  <c r="F29" i="25"/>
  <c r="K14" i="43"/>
  <c r="D98" i="83"/>
  <c r="G36" i="47"/>
  <c r="F101" i="51"/>
  <c r="I35" i="39"/>
  <c r="G23" i="90"/>
  <c r="I18" i="41"/>
  <c r="I45" i="63"/>
  <c r="E40" i="91"/>
  <c r="J46" i="27"/>
  <c r="M35" i="73"/>
  <c r="K19" i="70"/>
  <c r="G45" i="39"/>
  <c r="E85" i="66"/>
  <c r="N24" i="70"/>
  <c r="I40" i="49"/>
  <c r="G4" i="82"/>
  <c r="K22" i="19"/>
  <c r="O94" i="58"/>
  <c r="E20" i="61"/>
  <c r="E62" i="77"/>
  <c r="G38" i="70"/>
  <c r="J67" i="50"/>
  <c r="O34" i="63"/>
  <c r="E56" i="90"/>
  <c r="J47" i="49"/>
  <c r="J41" i="76"/>
  <c r="K35" i="64"/>
  <c r="M106" i="60"/>
  <c r="F85" i="61"/>
  <c r="E29" i="59"/>
  <c r="I24" i="47"/>
  <c r="G23" i="19"/>
  <c r="F4" i="69"/>
  <c r="L29" i="34"/>
  <c r="G91" i="63"/>
  <c r="E27" i="84"/>
  <c r="H11" i="55"/>
  <c r="D38" i="45"/>
  <c r="J56" i="35"/>
  <c r="L89" i="51"/>
  <c r="J97" i="82"/>
  <c r="J53" i="34"/>
  <c r="G19" i="30"/>
  <c r="H30" i="72"/>
  <c r="O104" i="87"/>
  <c r="I94" i="44"/>
  <c r="K35" i="94"/>
  <c r="H9" i="74"/>
  <c r="I10" i="39"/>
  <c r="I57" i="56"/>
  <c r="H65" i="78"/>
  <c r="K88" i="93"/>
  <c r="H88" i="86"/>
  <c r="I39" i="30"/>
  <c r="L20" i="90"/>
  <c r="G65" i="39"/>
  <c r="D23" i="63"/>
  <c r="L103" i="53"/>
  <c r="M22" i="60"/>
  <c r="D46" i="53"/>
  <c r="L21" i="26"/>
  <c r="E5" i="78"/>
  <c r="G45" i="73"/>
  <c r="L34" i="66"/>
  <c r="I21" i="75"/>
  <c r="H85" i="91"/>
  <c r="G104" i="52"/>
  <c r="I10" i="33"/>
  <c r="E70" i="93"/>
  <c r="I56" i="43"/>
  <c r="D56" i="79"/>
  <c r="O92" i="72"/>
  <c r="G59" i="84"/>
  <c r="O73" i="82"/>
  <c r="I21" i="46"/>
  <c r="M40" i="81"/>
  <c r="N16" i="93"/>
  <c r="G24" i="63"/>
  <c r="E12" i="35"/>
  <c r="L35" i="70"/>
  <c r="O107" i="72"/>
  <c r="E23" i="59"/>
  <c r="D71" i="84"/>
  <c r="J10" i="29"/>
  <c r="D43" i="60"/>
  <c r="I95" i="90"/>
  <c r="G68" i="72"/>
  <c r="L70" i="39"/>
  <c r="J49" i="78"/>
  <c r="G49" i="47"/>
  <c r="G94" i="75"/>
  <c r="I73" i="89"/>
  <c r="L35" i="93"/>
  <c r="J47" i="27"/>
  <c r="O89" i="30"/>
  <c r="M34" i="25"/>
  <c r="F42" i="77"/>
  <c r="G57" i="25"/>
  <c r="L98" i="92"/>
  <c r="J94" i="50"/>
  <c r="O20" i="27"/>
  <c r="O22" i="73"/>
  <c r="J11" i="50"/>
  <c r="F5" i="87"/>
  <c r="J34" i="66"/>
  <c r="K43" i="76"/>
  <c r="N88" i="60"/>
  <c r="H33" i="51"/>
  <c r="K41" i="89"/>
  <c r="N86" i="75"/>
  <c r="H49" i="39"/>
  <c r="H67" i="27"/>
  <c r="F31" i="26"/>
  <c r="K85" i="91"/>
  <c r="D11" i="35"/>
  <c r="D9" i="83"/>
  <c r="I30" i="74"/>
  <c r="K11" i="94"/>
  <c r="O41" i="82"/>
  <c r="E100" i="61"/>
  <c r="G41" i="47"/>
  <c r="J86" i="49"/>
  <c r="H52" i="62"/>
  <c r="L24" i="57"/>
  <c r="N15" i="91"/>
  <c r="D77" i="65"/>
  <c r="F45" i="71"/>
  <c r="D106" i="93"/>
  <c r="H92" i="35"/>
  <c r="E32" i="56"/>
  <c r="D14" i="80"/>
  <c r="E41" i="77"/>
  <c r="F56" i="79"/>
  <c r="K100" i="44"/>
  <c r="H5" i="32"/>
  <c r="F28" i="78"/>
  <c r="D31" i="52"/>
  <c r="I64" i="51"/>
  <c r="N77" i="76"/>
  <c r="H10" i="75"/>
  <c r="K58" i="77"/>
  <c r="G32" i="76"/>
  <c r="F21" i="82"/>
  <c r="K53" i="27"/>
  <c r="D28" i="55"/>
  <c r="D44" i="62"/>
  <c r="J36" i="77"/>
  <c r="E44" i="76"/>
  <c r="M19" i="46"/>
  <c r="I79" i="34"/>
  <c r="L103" i="78"/>
  <c r="G47" i="74"/>
  <c r="O61" i="91"/>
  <c r="L17" i="76"/>
  <c r="I107" i="46"/>
  <c r="M88"/>
  <c r="H30" i="71"/>
  <c r="I51" i="76"/>
  <c r="J18" i="32"/>
  <c r="I18" i="62"/>
  <c r="E95" i="53"/>
  <c r="F47" i="72"/>
  <c r="E64" i="40"/>
  <c r="H70" i="94"/>
  <c r="N16" i="74"/>
  <c r="O44" i="46"/>
  <c r="H24" i="68"/>
  <c r="H30" i="40"/>
  <c r="M47" i="64"/>
  <c r="G4" i="41"/>
  <c r="K6" i="67"/>
  <c r="L30" i="19"/>
  <c r="H54" i="33"/>
  <c r="N47" i="86"/>
  <c r="L70" i="51"/>
  <c r="M73" i="72"/>
  <c r="I15"/>
  <c r="J29" i="19"/>
  <c r="O103" i="36"/>
  <c r="I82" i="77"/>
  <c r="K8" i="68"/>
  <c r="K79" i="51"/>
  <c r="J83" i="48"/>
  <c r="F82" i="85"/>
  <c r="M104" i="70"/>
  <c r="I54" i="64"/>
  <c r="H15" i="79"/>
  <c r="D89" i="56"/>
  <c r="K22" i="32"/>
  <c r="M43" i="34"/>
  <c r="J6" i="70"/>
  <c r="F9" i="54"/>
  <c r="H83" i="75"/>
  <c r="H101" i="35"/>
  <c r="L100" i="73"/>
  <c r="H76" i="56"/>
  <c r="N76" i="63"/>
  <c r="E43" i="72"/>
  <c r="H82" i="30"/>
  <c r="F9" i="45"/>
  <c r="I17" i="83"/>
  <c r="G36" i="72"/>
  <c r="H21" i="30"/>
  <c r="K5" i="90"/>
  <c r="L5" i="65"/>
  <c r="O71" i="27"/>
  <c r="E7" i="92"/>
  <c r="O57" i="56"/>
  <c r="L32" i="36"/>
  <c r="G71" i="27"/>
  <c r="K34" i="25"/>
  <c r="H68" i="94"/>
  <c r="M80" i="86"/>
  <c r="N44" i="68"/>
  <c r="N57" i="92"/>
  <c r="M52" i="38"/>
  <c r="I61" i="82"/>
  <c r="N6" i="89"/>
  <c r="I15" i="64"/>
  <c r="L97" i="27"/>
  <c r="L79" i="86"/>
  <c r="L37" i="45"/>
  <c r="D67" i="53"/>
  <c r="J24" i="32"/>
  <c r="G73" i="62"/>
  <c r="L44" i="87"/>
  <c r="L54" i="73"/>
  <c r="G53" i="49"/>
  <c r="J11" i="57"/>
  <c r="F50" i="92"/>
  <c r="G74" i="90"/>
  <c r="J86" i="43"/>
  <c r="F103" i="69"/>
  <c r="K91" i="72"/>
  <c r="E52" i="56"/>
  <c r="L64" i="87"/>
  <c r="F36" i="33"/>
  <c r="G37" i="54"/>
  <c r="J39" i="82"/>
  <c r="K34" i="56"/>
  <c r="L95" i="53"/>
  <c r="O101" i="74"/>
  <c r="O19" i="62"/>
  <c r="H11" i="40"/>
  <c r="L24" i="26"/>
  <c r="H71" i="85"/>
  <c r="N18" i="70"/>
  <c r="E57" i="94"/>
  <c r="K47" i="81"/>
  <c r="H57" i="63"/>
  <c r="F95" i="58"/>
  <c r="N58" i="74"/>
  <c r="F46" i="61"/>
  <c r="D45" i="82"/>
  <c r="E26" i="67"/>
  <c r="H41" i="49"/>
  <c r="L24" i="84"/>
  <c r="F24" i="46"/>
  <c r="H91" i="36"/>
  <c r="N70" i="74"/>
  <c r="K28" i="45"/>
  <c r="L83"/>
  <c r="O52" i="73"/>
  <c r="N68" i="89"/>
  <c r="J58" i="62"/>
  <c r="K51" i="43"/>
  <c r="F101" i="54"/>
  <c r="L30" i="29"/>
  <c r="J45" i="84"/>
  <c r="F27" i="93"/>
  <c r="D88" i="92"/>
  <c r="N58" i="69"/>
  <c r="K44" i="55"/>
  <c r="J20" i="71"/>
  <c r="L31" i="39"/>
  <c r="I8" i="36"/>
  <c r="H97" i="19"/>
  <c r="M104"/>
  <c r="H101" i="45"/>
  <c r="K65" i="81"/>
  <c r="E67" i="25"/>
  <c r="I29" i="92"/>
  <c r="H83" i="55"/>
  <c r="D88" i="93"/>
  <c r="M98" i="34"/>
  <c r="D52" i="77"/>
  <c r="I68" i="56"/>
  <c r="K74" i="64"/>
  <c r="D20" i="80"/>
  <c r="H24" i="92"/>
  <c r="G79" i="77"/>
  <c r="G92" i="26"/>
  <c r="G82" i="55"/>
  <c r="N22" i="45"/>
  <c r="F80" i="64"/>
  <c r="N85" i="93"/>
  <c r="N36" i="62"/>
  <c r="D98" i="57"/>
  <c r="N42" i="33"/>
  <c r="M24" i="65"/>
  <c r="K39" i="74"/>
  <c r="N65" i="68"/>
  <c r="F32" i="42"/>
  <c r="M16" i="51"/>
  <c r="M23" i="72"/>
  <c r="M95" i="76"/>
  <c r="N6" i="91"/>
  <c r="G59" i="85"/>
  <c r="D61" i="27"/>
  <c r="D18" i="90"/>
  <c r="I34" i="44"/>
  <c r="N88" i="64"/>
  <c r="G44" i="51"/>
  <c r="E95" i="49"/>
  <c r="G107" i="90"/>
  <c r="D74" i="64"/>
  <c r="D100" i="68"/>
  <c r="I57" i="92"/>
  <c r="N12" i="82"/>
  <c r="I12" i="64"/>
  <c r="J13" i="73"/>
  <c r="J13" i="79"/>
  <c r="H65" i="82"/>
  <c r="L28"/>
  <c r="K9" i="44"/>
  <c r="J12" i="43"/>
  <c r="G45" i="48"/>
  <c r="O17" i="80"/>
  <c r="L40" i="93"/>
  <c r="J17" i="71"/>
  <c r="K5" i="92"/>
  <c r="O28" i="73"/>
  <c r="I50" i="63"/>
  <c r="E67" i="58"/>
  <c r="G31" i="30"/>
  <c r="J52" i="57"/>
  <c r="L30" i="47"/>
  <c r="G94" i="55"/>
  <c r="D27" i="46"/>
  <c r="M52" i="67"/>
  <c r="H31" i="86"/>
  <c r="N17" i="73"/>
  <c r="H11" i="85"/>
  <c r="I97" i="54"/>
  <c r="E76" i="46"/>
  <c r="L53" i="56"/>
  <c r="H79" i="62"/>
  <c r="M12" i="93"/>
  <c r="E20" i="82"/>
  <c r="G46" i="52"/>
  <c r="N4" i="87"/>
  <c r="H61" i="42"/>
  <c r="D100" i="48"/>
  <c r="J24" i="62"/>
  <c r="E68" i="87"/>
  <c r="D70" i="44"/>
  <c r="E79" i="91"/>
  <c r="I82" i="50"/>
  <c r="I8" i="66"/>
  <c r="I71" i="74"/>
  <c r="M35" i="91"/>
  <c r="H32" i="71"/>
  <c r="L28" i="81"/>
  <c r="J76" i="48"/>
  <c r="F59" i="51"/>
  <c r="H4" i="53"/>
  <c r="E103"/>
  <c r="H52" i="82"/>
  <c r="J34" i="57"/>
  <c r="E31" i="40"/>
  <c r="J35" i="76"/>
  <c r="J11" i="77"/>
  <c r="F17" i="71"/>
  <c r="K8" i="51"/>
  <c r="M7" i="68"/>
  <c r="F20" i="38"/>
  <c r="H15" i="47"/>
  <c r="O15" i="89"/>
  <c r="E31" i="90"/>
  <c r="L86" i="26"/>
  <c r="J61" i="67"/>
  <c r="N42" i="70"/>
  <c r="I48" i="82"/>
  <c r="H68" i="63"/>
  <c r="L45" i="73"/>
  <c r="D79" i="66"/>
  <c r="D52" i="32"/>
  <c r="F29" i="76"/>
  <c r="D91" i="26"/>
  <c r="D62" i="94"/>
  <c r="G103" i="67"/>
  <c r="D50" i="26"/>
  <c r="O82" i="44"/>
  <c r="K98" i="57"/>
  <c r="M9" i="46"/>
  <c r="K79" i="94"/>
  <c r="J29" i="36"/>
  <c r="I48" i="91"/>
  <c r="M28" i="92"/>
  <c r="O28" i="70"/>
  <c r="E95" i="54"/>
  <c r="J82" i="53"/>
  <c r="O7"/>
  <c r="L7" i="46"/>
  <c r="F13" i="59"/>
  <c r="F16" i="79"/>
  <c r="E52" i="32"/>
  <c r="H57" i="61"/>
  <c r="H28" i="29"/>
  <c r="N62" i="32"/>
  <c r="F7" i="90"/>
  <c r="M53" i="54"/>
  <c r="N24" i="65"/>
  <c r="E91" i="35"/>
  <c r="H28" i="62"/>
  <c r="M54" i="78"/>
  <c r="K16" i="68"/>
  <c r="O36" i="90"/>
  <c r="L101" i="26"/>
  <c r="D59" i="80"/>
  <c r="I8" i="27"/>
  <c r="I17" i="32"/>
  <c r="O33" i="30"/>
  <c r="H71" i="62"/>
  <c r="M97" i="82"/>
  <c r="CD67" i="3"/>
  <c r="D95" i="30"/>
  <c r="F107" i="64"/>
  <c r="D101" i="50"/>
  <c r="G19" i="63"/>
  <c r="K53" i="30"/>
  <c r="E9" i="34"/>
  <c r="E12" i="79"/>
  <c r="D51" i="53"/>
  <c r="H36" i="34"/>
  <c r="N49" i="84"/>
  <c r="H18" i="61"/>
  <c r="G98" i="58"/>
  <c r="K37" i="35"/>
  <c r="H38" i="38"/>
  <c r="G6" i="61"/>
  <c r="D30" i="81"/>
  <c r="H51" i="73"/>
  <c r="J101" i="82"/>
  <c r="H40" i="25"/>
  <c r="G12" i="41"/>
  <c r="G41" i="38"/>
  <c r="O85" i="71"/>
  <c r="O104" i="54"/>
  <c r="G30" i="41"/>
  <c r="D25" i="75"/>
  <c r="J88" i="59"/>
  <c r="K52" i="61"/>
  <c r="F103" i="58"/>
  <c r="G61" i="77"/>
  <c r="K45" i="25"/>
  <c r="I94" i="69"/>
  <c r="J42" i="29"/>
  <c r="O91" i="90"/>
  <c r="G97" i="45"/>
  <c r="I41" i="82"/>
  <c r="F59" i="56"/>
  <c r="O52" i="70"/>
  <c r="F38" i="83"/>
  <c r="H11" i="82"/>
  <c r="O22" i="81"/>
  <c r="K46" i="40"/>
  <c r="I26" i="78"/>
  <c r="N62" i="80"/>
  <c r="L41" i="40"/>
  <c r="J92" i="64"/>
  <c r="D31" i="58"/>
  <c r="G41" i="86"/>
  <c r="H54" i="54"/>
  <c r="I50" i="36"/>
  <c r="F4" i="65"/>
  <c r="M101" i="82"/>
  <c r="J76" i="55"/>
  <c r="H29" i="64"/>
  <c r="M48" i="78"/>
  <c r="M33" i="25"/>
  <c r="K15" i="86"/>
  <c r="K92" i="19"/>
  <c r="I58" i="29"/>
  <c r="L52" i="70"/>
  <c r="O9" i="34"/>
  <c r="M35" i="69"/>
  <c r="N70" i="77"/>
  <c r="M48" i="64"/>
  <c r="I35" i="79"/>
  <c r="I82" i="36"/>
  <c r="J39" i="43"/>
  <c r="L6" i="71"/>
  <c r="K32" i="58"/>
  <c r="I79" i="51"/>
  <c r="I15" i="48"/>
  <c r="D94" i="34"/>
  <c r="E107" i="66"/>
  <c r="F44" i="73"/>
  <c r="G24" i="61"/>
  <c r="G46" i="58"/>
  <c r="L24" i="60"/>
  <c r="N65" i="53"/>
  <c r="I101" i="25"/>
  <c r="G39" i="76"/>
  <c r="L33" i="75"/>
  <c r="L89" i="26"/>
  <c r="D30" i="67"/>
  <c r="H31" i="39"/>
  <c r="F21" i="29"/>
  <c r="L104" i="30"/>
  <c r="J67" i="32"/>
  <c r="L104" i="89"/>
  <c r="G6" i="43"/>
  <c r="D14" i="92"/>
  <c r="O46" i="29"/>
  <c r="H67" i="55"/>
  <c r="K34" i="77"/>
  <c r="E103" i="66"/>
  <c r="I35" i="83"/>
  <c r="L43" i="38"/>
  <c r="I53" i="51"/>
  <c r="H27" i="90"/>
  <c r="F97" i="53"/>
  <c r="E86" i="68"/>
  <c r="D40" i="34"/>
  <c r="N13" i="36"/>
  <c r="F82" i="38"/>
  <c r="K48" i="78"/>
  <c r="H7" i="85"/>
  <c r="D49" i="70"/>
  <c r="D107" i="41"/>
  <c r="H65" i="56"/>
  <c r="D32" i="25"/>
  <c r="O106" i="93"/>
  <c r="F19" i="54"/>
  <c r="F67" i="55"/>
  <c r="M47" i="83"/>
  <c r="O8" i="19"/>
  <c r="D46" i="36"/>
  <c r="F82" i="55"/>
  <c r="J25" i="29"/>
  <c r="L95" i="92"/>
  <c r="K33" i="51"/>
  <c r="F39" i="89"/>
  <c r="G10" i="43"/>
  <c r="M6" i="69"/>
  <c r="H83" i="27"/>
  <c r="J51" i="55"/>
  <c r="N73" i="36"/>
  <c r="H57" i="34"/>
  <c r="K65" i="75"/>
  <c r="N24" i="87"/>
  <c r="K21" i="53"/>
  <c r="F68" i="71"/>
  <c r="M65" i="33"/>
  <c r="J53" i="61"/>
  <c r="H27" i="86"/>
  <c r="H57" i="72"/>
  <c r="E58" i="48"/>
  <c r="G107" i="72"/>
  <c r="H59" i="38"/>
  <c r="J48" i="59"/>
  <c r="K5" i="60"/>
  <c r="L50" i="51"/>
  <c r="L58" i="47"/>
  <c r="H51" i="26"/>
  <c r="J26" i="80"/>
  <c r="D98" i="69"/>
  <c r="D83" i="62"/>
  <c r="N38" i="30"/>
  <c r="E43" i="59"/>
  <c r="F18" i="92"/>
  <c r="G68" i="55"/>
  <c r="G27" i="35"/>
  <c r="I47" i="51"/>
  <c r="L7" i="53"/>
  <c r="H100" i="30"/>
  <c r="H42" i="89"/>
  <c r="K38" i="75"/>
  <c r="I35" i="74"/>
  <c r="J88" i="72"/>
  <c r="O73" i="34"/>
  <c r="O43" i="82"/>
  <c r="D38" i="59"/>
  <c r="F70" i="40"/>
  <c r="L70" i="64"/>
  <c r="D33" i="45"/>
  <c r="L47" i="94"/>
  <c r="L34" i="25"/>
  <c r="H20" i="19"/>
  <c r="D31" i="44"/>
  <c r="K85" i="84"/>
  <c r="O51" i="35"/>
  <c r="H62" i="84"/>
  <c r="D76" i="69"/>
  <c r="M83" i="68"/>
  <c r="O89" i="48"/>
  <c r="J103" i="50"/>
  <c r="H107" i="33"/>
  <c r="D85" i="27"/>
  <c r="J106" i="30"/>
  <c r="N14" i="69"/>
  <c r="G27" i="50"/>
  <c r="G28" i="70"/>
  <c r="I21" i="78"/>
  <c r="E8" i="51"/>
  <c r="F44" i="93"/>
  <c r="D51" i="51"/>
  <c r="O51" i="76"/>
  <c r="E31" i="27"/>
  <c r="O52" i="45"/>
  <c r="K13"/>
  <c r="G61" i="39"/>
  <c r="M70" i="76"/>
  <c r="L100" i="84"/>
  <c r="G88" i="44"/>
  <c r="N74" i="30"/>
  <c r="H80" i="49"/>
  <c r="N104" i="39"/>
  <c r="N89" i="44"/>
  <c r="D19" i="89"/>
  <c r="F24" i="26"/>
  <c r="G59" i="29"/>
  <c r="J11" i="49"/>
  <c r="O47" i="69"/>
  <c r="O56"/>
  <c r="M19"/>
  <c r="M14" i="40"/>
  <c r="H80" i="70"/>
  <c r="G47" i="39"/>
  <c r="I17" i="36"/>
  <c r="F58" i="40"/>
  <c r="M40" i="49"/>
  <c r="N8" i="38"/>
  <c r="D29" i="68"/>
  <c r="H40" i="40"/>
  <c r="J44" i="65"/>
  <c r="M6" i="91"/>
  <c r="J56" i="40"/>
  <c r="G10" i="81"/>
  <c r="H13" i="73"/>
  <c r="H40" i="35"/>
  <c r="D44" i="19"/>
  <c r="K88" i="45"/>
  <c r="K59" i="56"/>
  <c r="F5" i="90"/>
  <c r="D16" i="89"/>
  <c r="D7" i="56"/>
  <c r="N55" i="19"/>
  <c r="N33" i="71"/>
  <c r="M48" i="81"/>
  <c r="E14" i="92"/>
  <c r="N55" i="39"/>
  <c r="F54" i="89"/>
  <c r="I42" i="30"/>
  <c r="K70" i="73"/>
  <c r="M43" i="82"/>
  <c r="D104" i="67"/>
  <c r="D45" i="79"/>
  <c r="K39" i="67"/>
  <c r="N53" i="51"/>
  <c r="N98" i="59"/>
  <c r="K68" i="30"/>
  <c r="K13" i="62"/>
  <c r="I52" i="89"/>
  <c r="F98" i="81"/>
  <c r="L5" i="73"/>
  <c r="H58" i="77"/>
  <c r="K51" i="78"/>
  <c r="G103" i="49"/>
  <c r="N68" i="86"/>
  <c r="D5" i="27"/>
  <c r="M103" i="56"/>
  <c r="H9" i="83"/>
  <c r="J12" i="46"/>
  <c r="G91" i="73"/>
  <c r="K103" i="92"/>
  <c r="L32" i="51"/>
  <c r="D67" i="25"/>
  <c r="I29" i="40"/>
  <c r="G58" i="80"/>
  <c r="K71" i="66"/>
  <c r="M68" i="69"/>
  <c r="F9" i="27"/>
  <c r="F51" i="75"/>
  <c r="N97" i="82"/>
  <c r="J101" i="46"/>
  <c r="H89" i="40"/>
  <c r="E67" i="77"/>
  <c r="G53" i="58"/>
  <c r="D35" i="81"/>
  <c r="M95" i="44"/>
  <c r="H52" i="90"/>
  <c r="F20" i="57"/>
  <c r="D32" i="52"/>
  <c r="M12" i="66"/>
  <c r="I73" i="70"/>
  <c r="J68" i="86"/>
  <c r="E15" i="83"/>
  <c r="M16" i="60"/>
  <c r="N9" i="47"/>
  <c r="M56" i="61"/>
  <c r="G45" i="55"/>
  <c r="K11" i="30"/>
  <c r="H91" i="87"/>
  <c r="G86" i="85"/>
  <c r="L71" i="66"/>
  <c r="J39" i="19"/>
  <c r="L9" i="75"/>
  <c r="J76" i="77"/>
  <c r="G42" i="86"/>
  <c r="K35" i="39"/>
  <c r="O30" i="83"/>
  <c r="L6" i="44"/>
  <c r="L52" i="19"/>
  <c r="F28" i="60"/>
  <c r="G42" i="39"/>
  <c r="J52" i="91"/>
  <c r="N11" i="45"/>
  <c r="M101" i="61"/>
  <c r="H79" i="26"/>
  <c r="F9" i="56"/>
  <c r="D39" i="54"/>
  <c r="F38" i="38"/>
  <c r="L101" i="63"/>
  <c r="F101" i="85"/>
  <c r="M16" i="62"/>
  <c r="D48" i="56"/>
  <c r="L107" i="59"/>
  <c r="H45" i="40"/>
  <c r="G46" i="65"/>
  <c r="H40" i="19"/>
  <c r="M83" i="45"/>
  <c r="H45" i="41"/>
  <c r="G57" i="44"/>
  <c r="F49" i="69"/>
  <c r="H15" i="90"/>
  <c r="E103" i="89"/>
  <c r="F4" i="59"/>
  <c r="F65" i="57"/>
  <c r="J82" i="87"/>
  <c r="M80" i="49"/>
  <c r="G76" i="73"/>
  <c r="D49" i="48"/>
  <c r="K21" i="69"/>
  <c r="I29" i="56"/>
  <c r="I54" i="69"/>
  <c r="H26" i="48"/>
  <c r="M44" i="46"/>
  <c r="D65" i="93"/>
  <c r="M104" i="39"/>
  <c r="D67" i="77"/>
  <c r="H85" i="34"/>
  <c r="M20" i="87"/>
  <c r="I70" i="61"/>
  <c r="D34" i="50"/>
  <c r="H68" i="86"/>
  <c r="D57" i="36"/>
  <c r="F74" i="76"/>
  <c r="M68" i="49"/>
  <c r="E35" i="85"/>
  <c r="D48" i="46"/>
  <c r="J83" i="91"/>
  <c r="O23" i="58"/>
  <c r="O67" i="90"/>
  <c r="J19" i="34"/>
  <c r="D95" i="83"/>
  <c r="E9" i="74"/>
  <c r="J59" i="65"/>
  <c r="I8" i="54"/>
  <c r="F104" i="36"/>
  <c r="L33" i="62"/>
  <c r="L62" i="83"/>
  <c r="L41" i="27"/>
  <c r="H37" i="65"/>
  <c r="G32" i="52"/>
  <c r="K100" i="38"/>
  <c r="H59" i="32"/>
  <c r="I76" i="93"/>
  <c r="L46" i="72"/>
  <c r="J10" i="74"/>
  <c r="D76" i="72"/>
  <c r="F18" i="83"/>
  <c r="F33" i="81"/>
  <c r="G29" i="80"/>
  <c r="E57" i="85"/>
  <c r="K92" i="64"/>
  <c r="N76" i="66"/>
  <c r="F103" i="29"/>
  <c r="G58" i="62"/>
  <c r="N4" i="83"/>
  <c r="I98" i="72"/>
  <c r="K39" i="39"/>
  <c r="E98" i="51"/>
  <c r="J79" i="77"/>
  <c r="G55" i="64"/>
  <c r="D27" i="60"/>
  <c r="H8" i="33"/>
  <c r="I92" i="81"/>
  <c r="N88" i="19"/>
  <c r="J19" i="58"/>
  <c r="H59" i="86"/>
  <c r="O55" i="53"/>
  <c r="J29" i="83"/>
  <c r="F57" i="56"/>
  <c r="G98" i="54"/>
  <c r="O70" i="81"/>
  <c r="K56" i="41"/>
  <c r="O21" i="77"/>
  <c r="E106" i="36"/>
  <c r="D33" i="51"/>
  <c r="L9" i="86"/>
  <c r="D85" i="43"/>
  <c r="G18" i="47"/>
  <c r="I100" i="57"/>
  <c r="L85" i="29"/>
  <c r="G89" i="89"/>
  <c r="F23" i="55"/>
  <c r="E7" i="51"/>
  <c r="K40" i="83"/>
  <c r="O59" i="60"/>
  <c r="F17" i="61"/>
  <c r="G94" i="77"/>
  <c r="F5" i="34"/>
  <c r="H33" i="54"/>
  <c r="E36" i="56"/>
  <c r="O46" i="86"/>
  <c r="F30" i="33"/>
  <c r="F40" i="80"/>
  <c r="G7" i="26"/>
  <c r="L95" i="39"/>
  <c r="D52" i="89"/>
  <c r="G14" i="55"/>
  <c r="F24" i="68"/>
  <c r="K16" i="89"/>
  <c r="M65"/>
  <c r="O17" i="73"/>
  <c r="D37" i="64"/>
  <c r="L33" i="93"/>
  <c r="N4" i="61"/>
  <c r="F25" i="41"/>
  <c r="D44" i="51"/>
  <c r="M106" i="35"/>
  <c r="J98" i="55"/>
  <c r="K86" i="72"/>
  <c r="K65" i="73"/>
  <c r="G46" i="41"/>
  <c r="F16" i="50"/>
  <c r="F39" i="29"/>
  <c r="L14" i="89"/>
  <c r="N25" i="53"/>
  <c r="G44" i="45"/>
  <c r="H12" i="51"/>
  <c r="K67" i="30"/>
  <c r="D86" i="66"/>
  <c r="K59" i="76"/>
  <c r="G101" i="51"/>
  <c r="F35" i="64"/>
  <c r="N73" i="63"/>
  <c r="O16" i="53"/>
  <c r="E38" i="77"/>
  <c r="D107" i="81"/>
  <c r="I64" i="71"/>
  <c r="F94" i="51"/>
  <c r="H101" i="58"/>
  <c r="O9" i="46"/>
  <c r="L17" i="62"/>
  <c r="L83" i="76"/>
  <c r="H40" i="64"/>
  <c r="O6" i="66"/>
  <c r="J45" i="49"/>
  <c r="I70" i="35"/>
  <c r="I101" i="71"/>
  <c r="J52" i="32"/>
  <c r="E82" i="67"/>
  <c r="N11" i="51"/>
  <c r="E74" i="79"/>
  <c r="M94" i="29"/>
  <c r="K52" i="66"/>
  <c r="J24"/>
  <c r="N68" i="71"/>
  <c r="G74" i="77"/>
  <c r="J70" i="89"/>
  <c r="O32" i="94"/>
  <c r="J12" i="72"/>
  <c r="M29" i="91"/>
  <c r="H35" i="93"/>
  <c r="H107" i="84"/>
  <c r="K79" i="72"/>
  <c r="N51" i="64"/>
  <c r="M94" i="67"/>
  <c r="N43" i="56"/>
  <c r="M80" i="61"/>
  <c r="K74" i="76"/>
  <c r="I97" i="57"/>
  <c r="I74" i="70"/>
  <c r="L97" i="44"/>
  <c r="I82" i="63"/>
  <c r="K15" i="25"/>
  <c r="H16" i="60"/>
  <c r="G29" i="89"/>
  <c r="G91" i="70"/>
  <c r="G37" i="30"/>
  <c r="J34" i="40"/>
  <c r="J55" i="32"/>
  <c r="H73" i="69"/>
  <c r="I59" i="61"/>
  <c r="D86" i="65"/>
  <c r="M6" i="26"/>
  <c r="I62" i="25"/>
  <c r="G53" i="61"/>
  <c r="L42" i="66"/>
  <c r="L26" i="41"/>
  <c r="F15" i="70"/>
  <c r="N18" i="81"/>
  <c r="O65" i="93"/>
  <c r="M86" i="30"/>
  <c r="K37" i="80"/>
  <c r="K65" i="86"/>
  <c r="I74" i="90"/>
  <c r="N67" i="54"/>
  <c r="D25" i="19"/>
  <c r="J43" i="72"/>
  <c r="K61" i="57"/>
  <c r="J62" i="72"/>
  <c r="I80" i="85"/>
  <c r="N12" i="38"/>
  <c r="N32" i="93"/>
  <c r="M94" i="82"/>
  <c r="J15" i="64"/>
  <c r="E22" i="36"/>
  <c r="M20" i="86"/>
  <c r="E23" i="29"/>
  <c r="D106" i="92"/>
  <c r="I47" i="27"/>
  <c r="G25" i="66"/>
  <c r="K35"/>
  <c r="D46" i="73"/>
  <c r="E54" i="38"/>
  <c r="M48" i="87"/>
  <c r="F30" i="93"/>
  <c r="D80" i="87"/>
  <c r="L64" i="66"/>
  <c r="F39" i="83"/>
  <c r="N94" i="33"/>
  <c r="J98" i="92"/>
  <c r="D35" i="35"/>
  <c r="G58" i="32"/>
  <c r="O94" i="56"/>
  <c r="L11" i="74"/>
  <c r="L73" i="75"/>
  <c r="E16" i="63"/>
  <c r="I101"/>
  <c r="D47" i="45"/>
  <c r="N73" i="75"/>
  <c r="K68" i="92"/>
  <c r="J45" i="69"/>
  <c r="G42" i="46"/>
  <c r="E57" i="70"/>
  <c r="D68" i="60"/>
  <c r="L53" i="54"/>
  <c r="M6" i="93"/>
  <c r="G15" i="64"/>
  <c r="K107" i="34"/>
  <c r="L46" i="57"/>
  <c r="H74" i="84"/>
  <c r="L88" i="94"/>
  <c r="D54" i="86"/>
  <c r="M74" i="59"/>
  <c r="J79" i="80"/>
  <c r="O58" i="86"/>
  <c r="G14" i="71"/>
  <c r="M16" i="94"/>
  <c r="L22" i="64"/>
  <c r="H68" i="46"/>
  <c r="O13" i="65"/>
  <c r="M57" i="33"/>
  <c r="O86" i="34"/>
  <c r="L15" i="46"/>
  <c r="N88" i="36"/>
  <c r="O52" i="35"/>
  <c r="N34" i="75"/>
  <c r="L44" i="46"/>
  <c r="K71" i="76"/>
  <c r="D58" i="90"/>
  <c r="E76" i="45"/>
  <c r="H30" i="80"/>
  <c r="M98" i="72"/>
  <c r="N10" i="34"/>
  <c r="D42" i="80"/>
  <c r="M40" i="68"/>
  <c r="G40" i="41"/>
  <c r="O79" i="71"/>
  <c r="I41" i="45"/>
  <c r="E80" i="72"/>
  <c r="F18" i="45"/>
  <c r="F26" i="68"/>
  <c r="N13" i="60"/>
  <c r="N43" i="40"/>
  <c r="J59" i="59"/>
  <c r="M68" i="75"/>
  <c r="M29" i="27"/>
  <c r="O34" i="33"/>
  <c r="E15" i="87"/>
  <c r="G34" i="39"/>
  <c r="D82" i="59"/>
  <c r="L19" i="63"/>
  <c r="M8" i="73"/>
  <c r="I89" i="45"/>
  <c r="D17" i="52"/>
  <c r="J29" i="46"/>
  <c r="E41" i="83"/>
  <c r="H88" i="58"/>
  <c r="H107" i="57"/>
  <c r="L61" i="87"/>
  <c r="N41" i="65"/>
  <c r="J56" i="82"/>
  <c r="F43" i="74"/>
  <c r="E64" i="29"/>
  <c r="H21" i="39"/>
  <c r="E91" i="57"/>
  <c r="O103" i="81"/>
  <c r="I14" i="40"/>
  <c r="M11" i="56"/>
  <c r="D47" i="75"/>
  <c r="G4" i="67"/>
  <c r="E20" i="90"/>
  <c r="M101" i="43"/>
  <c r="F83" i="71"/>
  <c r="M61" i="89"/>
  <c r="J82" i="19"/>
  <c r="F95" i="83"/>
  <c r="N36" i="51"/>
  <c r="N17" i="25"/>
  <c r="G21" i="80"/>
  <c r="K79" i="27"/>
  <c r="K61" i="39"/>
  <c r="H59" i="59"/>
  <c r="I52" i="78"/>
  <c r="H22" i="57"/>
  <c r="D11" i="25"/>
  <c r="L25" i="26"/>
  <c r="M67" i="48"/>
  <c r="J104" i="40"/>
  <c r="G6" i="89"/>
  <c r="O29" i="19"/>
  <c r="J62" i="64"/>
  <c r="I54" i="48"/>
  <c r="J14" i="90"/>
  <c r="D39" i="81"/>
  <c r="N94" i="62"/>
  <c r="O91" i="74"/>
  <c r="CL56" i="3"/>
  <c r="M88" i="27"/>
  <c r="G25" i="32"/>
  <c r="H57" i="30"/>
  <c r="E71" i="68"/>
  <c r="O26" i="19"/>
  <c r="K106" i="63"/>
  <c r="I30" i="71"/>
  <c r="J106" i="26"/>
  <c r="N92" i="54"/>
  <c r="G17" i="25"/>
  <c r="H24" i="34"/>
  <c r="E71" i="61"/>
  <c r="L10" i="35"/>
  <c r="E53" i="58"/>
  <c r="F89" i="26"/>
  <c r="L18" i="76"/>
  <c r="L25" i="62"/>
  <c r="O59" i="54"/>
  <c r="L17"/>
  <c r="L46" i="61"/>
  <c r="M50" i="44"/>
  <c r="I7" i="46"/>
  <c r="K33" i="59"/>
  <c r="F4" i="83"/>
  <c r="K83" i="59"/>
  <c r="G71" i="55"/>
  <c r="H55" i="80"/>
  <c r="F65" i="68"/>
  <c r="D94" i="59"/>
  <c r="N68" i="30"/>
  <c r="K43" i="94"/>
  <c r="J30" i="40"/>
  <c r="L42" i="44"/>
  <c r="E7" i="41"/>
  <c r="G45" i="70"/>
  <c r="J7" i="80"/>
  <c r="E73" i="60"/>
  <c r="G55" i="46"/>
  <c r="E41" i="34"/>
  <c r="I77"/>
  <c r="H77" i="38"/>
  <c r="H59" i="29"/>
  <c r="K9" i="65"/>
  <c r="O18" i="91"/>
  <c r="M97" i="75"/>
  <c r="I77" i="87"/>
  <c r="K70" i="59"/>
  <c r="L5"/>
  <c r="N22" i="66"/>
  <c r="D38" i="86"/>
  <c r="D7" i="36"/>
  <c r="M32" i="64"/>
  <c r="G22" i="19"/>
  <c r="K40" i="82"/>
  <c r="O64" i="39"/>
  <c r="N18" i="63"/>
  <c r="G51"/>
  <c r="O20" i="82"/>
  <c r="O92" i="61"/>
  <c r="E106" i="56"/>
  <c r="E27" i="44"/>
  <c r="D50" i="49"/>
  <c r="J13" i="46"/>
  <c r="E15" i="74"/>
  <c r="N56" i="84"/>
  <c r="D28" i="41"/>
  <c r="D36" i="43"/>
  <c r="M95" i="81"/>
  <c r="L47" i="87"/>
  <c r="K17" i="48"/>
  <c r="J22" i="63"/>
  <c r="N64" i="69"/>
  <c r="M22" i="66"/>
  <c r="G104" i="45"/>
  <c r="I10" i="83"/>
  <c r="I57" i="75"/>
  <c r="F64" i="87"/>
  <c r="L71" i="83"/>
  <c r="I77" i="51"/>
  <c r="G21" i="68"/>
  <c r="H82" i="94"/>
  <c r="G6" i="41"/>
  <c r="I6" i="86"/>
  <c r="M100" i="76"/>
  <c r="I65" i="39"/>
  <c r="F74" i="46"/>
  <c r="L32" i="67"/>
  <c r="N4" i="89"/>
  <c r="J20" i="66"/>
  <c r="F97" i="92"/>
  <c r="M45" i="36"/>
  <c r="O29" i="41"/>
  <c r="E92" i="55"/>
  <c r="F67" i="30"/>
  <c r="K39" i="68"/>
  <c r="E9" i="75"/>
  <c r="O61" i="60"/>
  <c r="D48" i="29"/>
  <c r="H47" i="45"/>
  <c r="G32" i="72"/>
  <c r="G91" i="79"/>
  <c r="N100" i="72"/>
  <c r="D12" i="68"/>
  <c r="H55" i="57"/>
  <c r="F15" i="78"/>
  <c r="H100" i="45"/>
  <c r="M97" i="51"/>
  <c r="G25" i="80"/>
  <c r="J22" i="61"/>
  <c r="I11" i="70"/>
  <c r="O76" i="67"/>
  <c r="G5"/>
  <c r="F79" i="85"/>
  <c r="D23" i="80"/>
  <c r="K8" i="71"/>
  <c r="I35" i="29"/>
  <c r="F19" i="47"/>
  <c r="D44" i="58"/>
  <c r="D19" i="64"/>
  <c r="J65" i="34"/>
  <c r="J27" i="84"/>
  <c r="H31" i="81"/>
  <c r="G103" i="73"/>
  <c r="I94" i="29"/>
  <c r="E57" i="76"/>
  <c r="D76" i="93"/>
  <c r="N8" i="29"/>
  <c r="G95" i="65"/>
  <c r="M42" i="80"/>
  <c r="N101" i="36"/>
  <c r="J59" i="40"/>
  <c r="E104"/>
  <c r="N55"/>
  <c r="M64" i="56"/>
  <c r="J14" i="47"/>
  <c r="K15" i="32"/>
  <c r="L12" i="45"/>
  <c r="D43" i="93"/>
  <c r="F61" i="32"/>
  <c r="O83" i="68"/>
  <c r="K68" i="43"/>
  <c r="I100" i="64"/>
  <c r="D57" i="89"/>
  <c r="O38" i="58"/>
  <c r="K91" i="68"/>
  <c r="F53" i="35"/>
  <c r="E24" i="69"/>
  <c r="N14" i="75"/>
  <c r="L4" i="59"/>
  <c r="O35" i="45"/>
  <c r="D15" i="72"/>
  <c r="O89" i="60"/>
  <c r="H37" i="77"/>
  <c r="M49" i="87"/>
  <c r="J76" i="71"/>
  <c r="N6" i="25"/>
  <c r="O100" i="19"/>
  <c r="D107" i="56"/>
  <c r="D15" i="47"/>
  <c r="H32" i="68"/>
  <c r="H9" i="19"/>
  <c r="J45" i="78"/>
  <c r="N55" i="75"/>
  <c r="L4" i="74"/>
  <c r="L15" i="26"/>
  <c r="O48" i="92"/>
  <c r="M100" i="84"/>
  <c r="F106" i="69"/>
  <c r="L68" i="91"/>
  <c r="D18" i="76"/>
  <c r="O49" i="58"/>
  <c r="E29" i="62"/>
  <c r="E17" i="72"/>
  <c r="G100" i="29"/>
  <c r="M39" i="44"/>
  <c r="L38" i="84"/>
  <c r="G95" i="78"/>
  <c r="O38" i="84"/>
  <c r="H51" i="61"/>
  <c r="F20" i="79"/>
  <c r="M28" i="65"/>
  <c r="K9" i="59"/>
  <c r="F59" i="35"/>
  <c r="K61" i="74"/>
  <c r="F77" i="34"/>
  <c r="G58" i="73"/>
  <c r="F73" i="86"/>
  <c r="E40" i="93"/>
  <c r="L97" i="34"/>
  <c r="E11" i="46"/>
  <c r="M20" i="48"/>
  <c r="M67" i="68"/>
  <c r="M15" i="64"/>
  <c r="M55" i="49"/>
  <c r="M83" i="76"/>
  <c r="D67" i="48"/>
  <c r="E97" i="74"/>
  <c r="F91" i="48"/>
  <c r="G42" i="56"/>
  <c r="E15" i="41"/>
  <c r="I4" i="29"/>
  <c r="N48"/>
  <c r="L95" i="40"/>
  <c r="M64" i="80"/>
  <c r="J26" i="36"/>
  <c r="O39" i="26"/>
  <c r="L28" i="92"/>
  <c r="D79" i="42"/>
  <c r="E8" i="25"/>
  <c r="O49" i="86"/>
  <c r="F71"/>
  <c r="M40" i="78"/>
  <c r="M23" i="56"/>
  <c r="G73" i="91"/>
  <c r="L85" i="72"/>
  <c r="F88" i="52"/>
  <c r="H50" i="30"/>
  <c r="J32" i="79"/>
  <c r="N61" i="78"/>
  <c r="I41" i="76"/>
  <c r="M46" i="58"/>
  <c r="J31" i="45"/>
  <c r="L82" i="49"/>
  <c r="F79" i="92"/>
  <c r="N15" i="27"/>
  <c r="F41" i="89"/>
  <c r="D106" i="75"/>
  <c r="J16" i="66"/>
  <c r="M22" i="70"/>
  <c r="N29" i="64"/>
  <c r="F98" i="92"/>
  <c r="H89" i="39"/>
  <c r="F13" i="51"/>
  <c r="E17" i="47"/>
  <c r="K91" i="34"/>
  <c r="I92" i="78"/>
  <c r="N13" i="49"/>
  <c r="N26" i="36"/>
  <c r="I104" i="75"/>
  <c r="N107" i="72"/>
  <c r="E48" i="85"/>
  <c r="K7" i="38"/>
  <c r="E32" i="73"/>
  <c r="K36" i="25"/>
  <c r="E58" i="86"/>
  <c r="N73" i="38"/>
  <c r="G26" i="33"/>
  <c r="L80" i="63"/>
  <c r="G26" i="94"/>
  <c r="K10" i="25"/>
  <c r="H26" i="77"/>
  <c r="I45" i="41"/>
  <c r="H39" i="87"/>
  <c r="I94" i="19"/>
  <c r="N91" i="29"/>
  <c r="D46" i="78"/>
  <c r="F80" i="65"/>
  <c r="N21" i="71"/>
  <c r="O95" i="53"/>
  <c r="N70" i="36"/>
  <c r="N14" i="53"/>
  <c r="D53" i="48"/>
  <c r="N83" i="63"/>
  <c r="E51" i="71"/>
  <c r="E7" i="68"/>
  <c r="M19" i="26"/>
  <c r="J86" i="67"/>
  <c r="O77" i="58"/>
  <c r="J101" i="71"/>
  <c r="J70" i="77"/>
  <c r="K8" i="53"/>
  <c r="J98" i="61"/>
  <c r="L30" i="38"/>
  <c r="J41" i="43"/>
  <c r="F77" i="86"/>
  <c r="H4" i="71"/>
  <c r="I83" i="67"/>
  <c r="D51" i="60"/>
  <c r="K101" i="51"/>
  <c r="E30" i="85"/>
  <c r="I54" i="25"/>
  <c r="O14" i="39"/>
  <c r="G28" i="26"/>
  <c r="F38" i="56"/>
  <c r="K91" i="43"/>
  <c r="I48" i="71"/>
  <c r="I13" i="75"/>
  <c r="M44" i="56"/>
  <c r="E7" i="59"/>
  <c r="L5" i="49"/>
  <c r="M16" i="26"/>
  <c r="M79" i="59"/>
  <c r="G16" i="32"/>
  <c r="N20" i="83"/>
  <c r="O14" i="47"/>
  <c r="D92" i="44"/>
  <c r="N45" i="35"/>
  <c r="M38" i="33"/>
  <c r="D59" i="19"/>
  <c r="J73" i="94"/>
  <c r="K7" i="29"/>
  <c r="E11" i="84"/>
  <c r="I42" i="26"/>
  <c r="F45" i="35"/>
  <c r="N98" i="67"/>
  <c r="O61" i="51"/>
  <c r="F52" i="83"/>
  <c r="G41" i="50"/>
  <c r="M106" i="62"/>
  <c r="H103" i="61"/>
  <c r="I34" i="29"/>
  <c r="E98" i="66"/>
  <c r="L40" i="47"/>
  <c r="D45" i="43"/>
  <c r="N33" i="41"/>
  <c r="F35" i="82"/>
  <c r="O44" i="63"/>
  <c r="L61" i="80"/>
  <c r="L10" i="71"/>
  <c r="D37" i="87"/>
  <c r="CJ59" i="3"/>
  <c r="L49" i="44"/>
  <c r="E92" i="36"/>
  <c r="L83" i="27"/>
  <c r="H36" i="55"/>
  <c r="I47" i="45"/>
  <c r="F98" i="68"/>
  <c r="D101" i="25"/>
  <c r="G30" i="93"/>
  <c r="O29" i="43"/>
  <c r="J50" i="53"/>
  <c r="K88" i="27"/>
  <c r="N7"/>
  <c r="E58" i="62"/>
  <c r="M31" i="91"/>
  <c r="K7" i="77"/>
  <c r="M101" i="87"/>
  <c r="H62" i="54"/>
  <c r="H54" i="47"/>
  <c r="D89" i="70"/>
  <c r="H21" i="58"/>
  <c r="G33" i="90"/>
  <c r="E13" i="93"/>
  <c r="H36" i="60"/>
  <c r="H53" i="32"/>
  <c r="O4" i="83"/>
  <c r="I5" i="70"/>
  <c r="G26" i="48"/>
  <c r="H24" i="45"/>
  <c r="F47" i="57"/>
  <c r="O53" i="45"/>
  <c r="G47" i="41"/>
  <c r="J10" i="26"/>
  <c r="J70" i="41"/>
  <c r="J48" i="75"/>
  <c r="H41" i="25"/>
  <c r="G35" i="60"/>
  <c r="H32" i="91"/>
  <c r="F31" i="57"/>
  <c r="N9" i="26"/>
  <c r="O39" i="68"/>
  <c r="H5" i="41"/>
  <c r="I7" i="39"/>
  <c r="O104" i="30"/>
  <c r="E17" i="52"/>
  <c r="L100" i="30"/>
  <c r="D17" i="86"/>
  <c r="F10" i="47"/>
  <c r="I29"/>
  <c r="J34" i="67"/>
  <c r="K86" i="49"/>
  <c r="M44" i="63"/>
  <c r="F51" i="82"/>
  <c r="L40" i="75"/>
  <c r="H107" i="66"/>
  <c r="N64" i="83"/>
  <c r="G82" i="38"/>
  <c r="E106" i="50"/>
  <c r="M43" i="35"/>
  <c r="I7" i="83"/>
  <c r="M34" i="46"/>
  <c r="G48" i="50"/>
  <c r="I7" i="57"/>
  <c r="I24" i="80"/>
  <c r="K49" i="94"/>
  <c r="I54" i="41"/>
  <c r="N8" i="66"/>
  <c r="E82" i="48"/>
  <c r="K80" i="68"/>
  <c r="G39" i="60"/>
  <c r="D29" i="45"/>
  <c r="E12" i="41"/>
  <c r="L11" i="89"/>
  <c r="K89" i="90"/>
  <c r="E11" i="55"/>
  <c r="D30" i="30"/>
  <c r="K54" i="86"/>
  <c r="L42" i="59"/>
  <c r="N24" i="51"/>
  <c r="E44" i="67"/>
  <c r="E59" i="66"/>
  <c r="J28" i="35"/>
  <c r="N49" i="80"/>
  <c r="M5" i="62"/>
  <c r="O16" i="34"/>
  <c r="J106" i="56"/>
  <c r="E54" i="86"/>
  <c r="F15" i="25"/>
  <c r="N91" i="75"/>
  <c r="K40" i="76"/>
  <c r="L55" i="72"/>
  <c r="I38" i="85"/>
  <c r="M35" i="78"/>
  <c r="E86" i="87"/>
  <c r="K65" i="46"/>
  <c r="E21" i="36"/>
  <c r="I82" i="26"/>
  <c r="D54" i="43"/>
  <c r="H83" i="61"/>
  <c r="I21" i="27"/>
  <c r="J74" i="64"/>
  <c r="O12" i="30"/>
  <c r="L100" i="57"/>
  <c r="F47" i="38"/>
  <c r="N45" i="49"/>
  <c r="G97" i="74"/>
  <c r="E79" i="70"/>
  <c r="M42" i="48"/>
  <c r="D13" i="82"/>
  <c r="M17" i="41"/>
  <c r="N61" i="93"/>
  <c r="E38" i="73"/>
  <c r="D65" i="87"/>
  <c r="H56" i="61"/>
  <c r="G88" i="52"/>
  <c r="H82" i="64"/>
  <c r="O28" i="26"/>
  <c r="O11" i="70"/>
  <c r="M103" i="59"/>
  <c r="D33" i="94"/>
  <c r="I29" i="39"/>
  <c r="H36" i="86"/>
  <c r="N82" i="81"/>
  <c r="M54" i="45"/>
  <c r="H37" i="57"/>
  <c r="I30" i="85"/>
  <c r="E12" i="48"/>
  <c r="E54" i="62"/>
  <c r="N35" i="53"/>
  <c r="L28" i="40"/>
  <c r="O100" i="74"/>
  <c r="K37" i="45"/>
  <c r="O35" i="35"/>
  <c r="M62" i="46"/>
  <c r="L19" i="92"/>
  <c r="J58" i="77"/>
  <c r="N58" i="66"/>
  <c r="I34" i="48"/>
  <c r="N34" i="47"/>
  <c r="D76" i="77"/>
  <c r="F15" i="83"/>
  <c r="E103" i="81"/>
  <c r="H21" i="64"/>
  <c r="N42" i="56"/>
  <c r="E82" i="91"/>
  <c r="M32" i="60"/>
  <c r="E5" i="86"/>
  <c r="G64" i="35"/>
  <c r="G107" i="56"/>
  <c r="L40" i="65"/>
  <c r="G30" i="26"/>
  <c r="I52" i="85"/>
  <c r="N92" i="27"/>
  <c r="H53" i="56"/>
  <c r="N10" i="89"/>
  <c r="N4" i="62"/>
  <c r="D51" i="49"/>
  <c r="J58" i="70"/>
  <c r="J45" i="66"/>
  <c r="K51" i="76"/>
  <c r="N88" i="82"/>
  <c r="J28" i="65"/>
  <c r="K91" i="33"/>
  <c r="I92" i="75"/>
  <c r="H59" i="62"/>
  <c r="I86" i="43"/>
  <c r="L13" i="33"/>
  <c r="F37" i="34"/>
  <c r="I31" i="29"/>
  <c r="F77" i="94"/>
  <c r="E46" i="80"/>
  <c r="L47" i="35"/>
  <c r="K22" i="86"/>
  <c r="N49" i="33"/>
  <c r="I68" i="29"/>
  <c r="F51" i="66"/>
  <c r="F21" i="80"/>
  <c r="L16" i="40"/>
  <c r="G5" i="62"/>
  <c r="M20" i="39"/>
  <c r="D64" i="43"/>
  <c r="K107" i="62"/>
  <c r="I34" i="87"/>
  <c r="N71" i="61"/>
  <c r="J61" i="90"/>
  <c r="E64" i="41"/>
  <c r="E74" i="48"/>
  <c r="E11" i="35"/>
  <c r="F29" i="70"/>
  <c r="M85" i="77"/>
  <c r="H31" i="32"/>
  <c r="G15" i="58"/>
  <c r="K18" i="30"/>
  <c r="H80" i="40"/>
  <c r="G104" i="85"/>
  <c r="H8" i="68"/>
  <c r="G17" i="49"/>
  <c r="H29" i="47"/>
  <c r="K86" i="25"/>
  <c r="G73" i="63"/>
  <c r="H44" i="72"/>
  <c r="N34" i="68"/>
  <c r="D46" i="27"/>
  <c r="M76" i="89"/>
  <c r="E103" i="36"/>
  <c r="F106" i="71"/>
  <c r="F92" i="42"/>
  <c r="I104" i="74"/>
  <c r="K58" i="62"/>
  <c r="M98" i="64"/>
  <c r="D34" i="79"/>
  <c r="K82" i="47"/>
  <c r="N10" i="48"/>
  <c r="L52" i="76"/>
  <c r="K94" i="60"/>
  <c r="E31" i="85"/>
  <c r="D48" i="50"/>
  <c r="L23" i="49"/>
  <c r="I64" i="26"/>
  <c r="G62" i="49"/>
  <c r="L9" i="64"/>
  <c r="D70" i="78"/>
  <c r="E8" i="77"/>
  <c r="M62" i="63"/>
  <c r="I52" i="84"/>
  <c r="D51" i="56"/>
  <c r="N52" i="30"/>
  <c r="G61" i="89"/>
  <c r="N104" i="45"/>
  <c r="D107" i="75"/>
  <c r="F22" i="72"/>
  <c r="O9" i="43"/>
  <c r="J12" i="39"/>
  <c r="G22" i="76"/>
  <c r="L27" i="34"/>
  <c r="I19" i="71"/>
  <c r="N51" i="49"/>
  <c r="K37" i="32"/>
  <c r="H17" i="46"/>
  <c r="O48" i="39"/>
  <c r="E6" i="60"/>
  <c r="O80" i="67"/>
  <c r="N59" i="65"/>
  <c r="D5" i="30"/>
  <c r="F28" i="79"/>
  <c r="D79" i="55"/>
  <c r="L101" i="83"/>
  <c r="E47" i="87"/>
  <c r="O73" i="38"/>
  <c r="G26" i="91"/>
  <c r="J52" i="71"/>
  <c r="N41" i="34"/>
  <c r="J106"/>
  <c r="L101" i="61"/>
  <c r="I18" i="69"/>
  <c r="L28" i="66"/>
  <c r="J51" i="29"/>
  <c r="K106" i="83"/>
  <c r="N55" i="33"/>
  <c r="F77" i="38"/>
  <c r="J97" i="80"/>
  <c r="H11" i="51"/>
  <c r="H91" i="77"/>
  <c r="E32" i="39"/>
  <c r="H12" i="52"/>
  <c r="K42" i="45"/>
  <c r="H8" i="76"/>
  <c r="N7" i="29"/>
  <c r="G89" i="76"/>
  <c r="J54" i="77"/>
  <c r="D46" i="68"/>
  <c r="I50" i="72"/>
  <c r="M91" i="63"/>
  <c r="K31" i="83"/>
  <c r="L29" i="62"/>
  <c r="M82" i="45"/>
  <c r="D7" i="92"/>
  <c r="G82" i="85"/>
  <c r="H46" i="48"/>
  <c r="D97" i="76"/>
  <c r="E41" i="66"/>
  <c r="J83" i="70"/>
  <c r="H6" i="19"/>
  <c r="N47" i="62"/>
  <c r="K95" i="45"/>
  <c r="J14" i="71"/>
  <c r="D57" i="72"/>
  <c r="L79" i="57"/>
  <c r="K55" i="80"/>
  <c r="M83" i="53"/>
  <c r="O30" i="58"/>
  <c r="J37" i="34"/>
  <c r="E12" i="33"/>
  <c r="O58" i="60"/>
  <c r="F34" i="84"/>
  <c r="H16" i="93"/>
  <c r="F11" i="40"/>
  <c r="O12" i="39"/>
  <c r="H54" i="64"/>
  <c r="I44" i="81"/>
  <c r="G46" i="61"/>
  <c r="F91" i="58"/>
  <c r="G17" i="75"/>
  <c r="I48"/>
  <c r="M67" i="76"/>
  <c r="I24" i="60"/>
  <c r="M14" i="81"/>
  <c r="E61" i="42"/>
  <c r="K27" i="63"/>
  <c r="I43" i="34"/>
  <c r="G25" i="64"/>
  <c r="G80" i="49"/>
  <c r="O91" i="57"/>
  <c r="J15" i="92"/>
  <c r="I73" i="34"/>
  <c r="O58" i="43"/>
  <c r="D48" i="65"/>
  <c r="L88" i="87"/>
  <c r="J42" i="32"/>
  <c r="O44" i="47"/>
  <c r="H64" i="58"/>
  <c r="H101" i="75"/>
  <c r="O89" i="45"/>
  <c r="G27" i="29"/>
  <c r="J55" i="50"/>
  <c r="M54" i="94"/>
  <c r="H34" i="72"/>
  <c r="D89" i="68"/>
  <c r="O41" i="90"/>
  <c r="G64" i="19"/>
  <c r="M73" i="87"/>
  <c r="E62" i="78"/>
  <c r="H98" i="56"/>
  <c r="J27" i="93"/>
  <c r="N13" i="45"/>
  <c r="M45" i="86"/>
  <c r="E85" i="32"/>
  <c r="M71" i="40"/>
  <c r="J42" i="63"/>
  <c r="J40" i="34"/>
  <c r="F30" i="30"/>
  <c r="D83" i="36"/>
  <c r="H44" i="73"/>
  <c r="M89" i="39"/>
  <c r="G80" i="54"/>
  <c r="K79" i="70"/>
  <c r="N39" i="41"/>
  <c r="F103" i="49"/>
  <c r="N4"/>
  <c r="N37" i="94"/>
  <c r="F42" i="34"/>
  <c r="D94" i="58"/>
  <c r="L13" i="35"/>
  <c r="F42" i="54"/>
  <c r="J19" i="78"/>
  <c r="I25" i="57"/>
  <c r="M31" i="76"/>
  <c r="N17" i="34"/>
  <c r="M56" i="89"/>
  <c r="O65" i="36"/>
  <c r="L41" i="43"/>
  <c r="H10" i="94"/>
  <c r="E45" i="58"/>
  <c r="CG76" i="3"/>
  <c r="J37" i="45"/>
  <c r="J85" i="19"/>
  <c r="E56" i="33"/>
  <c r="M13" i="74"/>
  <c r="M31" i="63"/>
  <c r="L106" i="72"/>
  <c r="G19" i="56"/>
  <c r="D101" i="45"/>
  <c r="I89" i="94"/>
  <c r="D4" i="72"/>
  <c r="H58" i="41"/>
  <c r="E7" i="94"/>
  <c r="N29" i="91"/>
  <c r="G67" i="26"/>
  <c r="I48" i="74"/>
  <c r="H97" i="70"/>
  <c r="K85" i="87"/>
  <c r="N59" i="56"/>
  <c r="G35" i="66"/>
  <c r="E10" i="61"/>
  <c r="H11" i="49"/>
  <c r="F88" i="58"/>
  <c r="L31" i="43"/>
  <c r="O61" i="86"/>
  <c r="O13" i="41"/>
  <c r="L26" i="40"/>
  <c r="N38" i="58"/>
  <c r="K15" i="65"/>
  <c r="D15" i="80"/>
  <c r="G13" i="29"/>
  <c r="M71" i="87"/>
  <c r="E6" i="83"/>
  <c r="F65" i="77"/>
  <c r="K9" i="87"/>
  <c r="D7" i="40"/>
  <c r="O41" i="73"/>
  <c r="N37" i="59"/>
  <c r="K8" i="92"/>
  <c r="D38" i="71"/>
  <c r="I56" i="34"/>
  <c r="J19" i="80"/>
  <c r="J65" i="78"/>
  <c r="O82" i="64"/>
  <c r="F37" i="43"/>
  <c r="D34" i="90"/>
  <c r="E57" i="58"/>
  <c r="I64" i="78"/>
  <c r="M43" i="54"/>
  <c r="F14" i="77"/>
  <c r="I21"/>
  <c r="F47" i="66"/>
  <c r="G15" i="39"/>
  <c r="M106" i="29"/>
  <c r="F97" i="76"/>
  <c r="E50" i="87"/>
  <c r="H80" i="72"/>
  <c r="J50" i="68"/>
  <c r="L44" i="91"/>
  <c r="H68" i="64"/>
  <c r="J12" i="67"/>
  <c r="F21" i="60"/>
  <c r="K106" i="61"/>
  <c r="D26" i="62"/>
  <c r="E98" i="42"/>
  <c r="I98" i="85"/>
  <c r="G47" i="63"/>
  <c r="H77" i="89"/>
  <c r="D85" i="56"/>
  <c r="O11" i="63"/>
  <c r="M43" i="64"/>
  <c r="K21" i="77"/>
  <c r="E15" i="55"/>
  <c r="L86" i="45"/>
  <c r="O58" i="59"/>
  <c r="J21" i="54"/>
  <c r="J41" i="48"/>
  <c r="D29" i="29"/>
  <c r="I30" i="64"/>
  <c r="M101" i="35"/>
  <c r="G74" i="42"/>
  <c r="G107" i="86"/>
  <c r="E97" i="39"/>
  <c r="N46" i="87"/>
  <c r="M58" i="47"/>
  <c r="O7" i="81"/>
  <c r="I55" i="78"/>
  <c r="G94" i="26"/>
  <c r="D92" i="89"/>
  <c r="G20" i="35"/>
  <c r="H13" i="66"/>
  <c r="I91" i="48"/>
  <c r="G16" i="59"/>
  <c r="I57" i="40"/>
  <c r="O7" i="44"/>
  <c r="O47" i="62"/>
  <c r="K62" i="68"/>
  <c r="D101" i="51"/>
  <c r="O64" i="71"/>
  <c r="H27" i="94"/>
  <c r="I48" i="80"/>
  <c r="K29" i="63"/>
  <c r="E32" i="67"/>
  <c r="G18" i="25"/>
  <c r="H59" i="45"/>
  <c r="J92" i="34"/>
  <c r="K5" i="27"/>
  <c r="G68" i="77"/>
  <c r="L21"/>
  <c r="H104" i="93"/>
  <c r="F32" i="71"/>
  <c r="O43" i="48"/>
  <c r="L58" i="81"/>
  <c r="F48" i="56"/>
  <c r="G100" i="46"/>
  <c r="K35" i="90"/>
  <c r="E36" i="85"/>
  <c r="K33" i="72"/>
  <c r="E100" i="93"/>
  <c r="H74" i="43"/>
  <c r="G82" i="90"/>
  <c r="J58" i="91"/>
  <c r="N55" i="29"/>
  <c r="N44" i="60"/>
  <c r="D92" i="85"/>
  <c r="G6" i="67"/>
  <c r="I15" i="77"/>
  <c r="N92" i="26"/>
  <c r="G85" i="76"/>
  <c r="L21" i="70"/>
  <c r="K97" i="89"/>
  <c r="E20" i="40"/>
  <c r="O4" i="81"/>
  <c r="D21" i="67"/>
  <c r="J65" i="93"/>
  <c r="O51" i="57"/>
  <c r="I55" i="27"/>
  <c r="I27" i="78"/>
  <c r="J47" i="54"/>
  <c r="F83" i="84"/>
  <c r="F57" i="63"/>
  <c r="K22" i="62"/>
  <c r="L101" i="27"/>
  <c r="N50" i="26"/>
  <c r="E26" i="85"/>
  <c r="M79" i="30"/>
  <c r="L40" i="27"/>
  <c r="D49" i="38"/>
  <c r="H55" i="44"/>
  <c r="O44" i="39"/>
  <c r="O30" i="26"/>
  <c r="M77" i="54"/>
  <c r="E35" i="89"/>
  <c r="L6" i="55"/>
  <c r="F57" i="30"/>
  <c r="M29" i="90"/>
  <c r="J107" i="59"/>
  <c r="D106" i="43"/>
  <c r="K43" i="29"/>
  <c r="F67" i="65"/>
  <c r="E62" i="74"/>
  <c r="N85" i="30"/>
  <c r="H101" i="57"/>
  <c r="F95" i="76"/>
  <c r="N76" i="40"/>
  <c r="L24" i="47"/>
  <c r="N35" i="45"/>
  <c r="O70" i="64"/>
  <c r="I15" i="63"/>
  <c r="L17" i="19"/>
  <c r="I40" i="43"/>
  <c r="J71" i="89"/>
  <c r="L5" i="40"/>
  <c r="K56" i="59"/>
  <c r="I13" i="35"/>
  <c r="D50" i="70"/>
  <c r="E58" i="87"/>
  <c r="F6" i="79"/>
  <c r="F104" i="54"/>
  <c r="J15" i="49"/>
  <c r="O54" i="36"/>
  <c r="L36" i="61"/>
  <c r="G9" i="75"/>
  <c r="K76" i="89"/>
  <c r="O47" i="75"/>
  <c r="E55" i="85"/>
  <c r="J41" i="39"/>
  <c r="G9" i="92"/>
  <c r="O100" i="47"/>
  <c r="O48" i="49"/>
  <c r="I97" i="84"/>
  <c r="F103" i="86"/>
  <c r="M55" i="39"/>
  <c r="E62" i="71"/>
  <c r="J70" i="35"/>
  <c r="H94" i="36"/>
  <c r="O62" i="91"/>
  <c r="I9" i="62"/>
  <c r="G50" i="25"/>
  <c r="D38"/>
  <c r="J8" i="58"/>
  <c r="I15" i="30"/>
  <c r="N17" i="68"/>
  <c r="I52" i="58"/>
  <c r="G17" i="66"/>
  <c r="E35" i="50"/>
  <c r="H25" i="91"/>
  <c r="O53" i="34"/>
  <c r="F29" i="58"/>
  <c r="O62" i="61"/>
  <c r="N36" i="54"/>
  <c r="I91"/>
  <c r="O104" i="27"/>
  <c r="E43" i="44"/>
  <c r="J64" i="93"/>
  <c r="E76" i="70"/>
  <c r="E29" i="74"/>
  <c r="N33" i="32"/>
  <c r="M83" i="77"/>
  <c r="E18" i="57"/>
  <c r="J13" i="78"/>
  <c r="F64" i="60"/>
  <c r="O83" i="36"/>
  <c r="J45" i="47"/>
  <c r="E82" i="69"/>
  <c r="D46" i="35"/>
  <c r="N39" i="48"/>
  <c r="L35" i="30"/>
  <c r="E57" i="91"/>
  <c r="H17" i="85"/>
  <c r="E17" i="39"/>
  <c r="K35" i="81"/>
  <c r="E86"/>
  <c r="N12" i="47"/>
  <c r="I70" i="57"/>
  <c r="L64" i="72"/>
  <c r="I85" i="43"/>
  <c r="K107" i="63"/>
  <c r="J68" i="93"/>
  <c r="E95" i="90"/>
  <c r="D27" i="77"/>
  <c r="G85" i="74"/>
  <c r="M15" i="83"/>
  <c r="I27" i="87"/>
  <c r="N49" i="36"/>
  <c r="O13" i="94"/>
  <c r="L80" i="26"/>
  <c r="K61" i="90"/>
  <c r="L36" i="68"/>
  <c r="O106" i="30"/>
  <c r="D48" i="93"/>
  <c r="F33" i="83"/>
  <c r="D61" i="89"/>
  <c r="G77" i="69"/>
  <c r="M29" i="78"/>
  <c r="N27" i="74"/>
  <c r="G107" i="65"/>
  <c r="I30" i="59"/>
  <c r="H39" i="45"/>
  <c r="G45" i="94"/>
  <c r="O36" i="62"/>
  <c r="L20" i="44"/>
  <c r="J25" i="91"/>
  <c r="M47" i="36"/>
  <c r="E55" i="76"/>
  <c r="O37" i="80"/>
  <c r="N9" i="30"/>
  <c r="L49" i="84"/>
  <c r="E19" i="78"/>
  <c r="N79" i="19"/>
  <c r="I26" i="55"/>
  <c r="J68" i="89"/>
  <c r="J56" i="51"/>
  <c r="G83" i="68"/>
  <c r="M103" i="54"/>
  <c r="F46" i="34"/>
  <c r="D52" i="38"/>
  <c r="L51" i="81"/>
  <c r="F79" i="51"/>
  <c r="K59" i="91"/>
  <c r="O97" i="69"/>
  <c r="I85" i="50"/>
  <c r="E35" i="29"/>
  <c r="L30" i="78"/>
  <c r="K57" i="70"/>
  <c r="F76" i="64"/>
  <c r="D16" i="78"/>
  <c r="H25" i="33"/>
  <c r="M56" i="26"/>
  <c r="E16" i="45"/>
  <c r="G95" i="41"/>
  <c r="D73" i="56"/>
  <c r="K27" i="73"/>
  <c r="O48" i="86"/>
  <c r="O41" i="72"/>
  <c r="I56"/>
  <c r="K57" i="38"/>
  <c r="N34" i="35"/>
  <c r="O97" i="93"/>
  <c r="F17" i="50"/>
  <c r="M27" i="55"/>
  <c r="F67" i="63"/>
  <c r="O65" i="27"/>
  <c r="J33" i="68"/>
  <c r="M8" i="49"/>
  <c r="K67" i="48"/>
  <c r="J43" i="32"/>
  <c r="D14" i="58"/>
  <c r="I40" i="52"/>
  <c r="D53" i="45"/>
  <c r="E68" i="84"/>
  <c r="O48" i="41"/>
  <c r="N59" i="51"/>
  <c r="D51" i="47"/>
  <c r="I107" i="32"/>
  <c r="D46" i="65"/>
  <c r="H55" i="35"/>
  <c r="I61" i="62"/>
  <c r="K27" i="48"/>
  <c r="F58" i="91"/>
  <c r="J38" i="89"/>
  <c r="M48" i="55"/>
  <c r="G42" i="40"/>
  <c r="N73" i="61"/>
  <c r="J20" i="32"/>
  <c r="J20" i="49"/>
  <c r="L46" i="34"/>
  <c r="G43" i="57"/>
  <c r="M16" i="53"/>
  <c r="L15" i="58"/>
  <c r="M36" i="41"/>
  <c r="L104" i="27"/>
  <c r="E56" i="76"/>
  <c r="E85" i="42"/>
  <c r="N100" i="57"/>
  <c r="H58" i="19"/>
  <c r="J7" i="27"/>
  <c r="L97" i="55"/>
  <c r="F32" i="67"/>
  <c r="E11" i="51"/>
  <c r="M47" i="72"/>
  <c r="I97" i="79"/>
  <c r="H88" i="34"/>
  <c r="D61" i="46"/>
  <c r="K107" i="45"/>
  <c r="K104" i="25"/>
  <c r="D73" i="84"/>
  <c r="L70" i="68"/>
  <c r="O76" i="44"/>
  <c r="F23" i="81"/>
  <c r="D5" i="44"/>
  <c r="F16" i="53"/>
  <c r="J16" i="26"/>
  <c r="J67" i="78"/>
  <c r="K14" i="63"/>
  <c r="L91" i="46"/>
  <c r="D39" i="91"/>
  <c r="G30" i="25"/>
  <c r="H28" i="34"/>
  <c r="O103" i="94"/>
  <c r="I104" i="47"/>
  <c r="J62" i="50"/>
  <c r="J55" i="53"/>
  <c r="J79" i="35"/>
  <c r="D65" i="54"/>
  <c r="J38" i="83"/>
  <c r="H57" i="40"/>
  <c r="G48" i="26"/>
  <c r="H14" i="72"/>
  <c r="N26" i="33"/>
  <c r="J83" i="38"/>
  <c r="I41" i="39"/>
  <c r="D57" i="75"/>
  <c r="O83" i="51"/>
  <c r="N71" i="46"/>
  <c r="I86" i="77"/>
  <c r="K59" i="71"/>
  <c r="D79"/>
  <c r="L71" i="33"/>
  <c r="D68" i="25"/>
  <c r="G30" i="40"/>
  <c r="D38" i="52"/>
  <c r="E11" i="70"/>
  <c r="L12" i="51"/>
  <c r="I65" i="74"/>
  <c r="H64" i="70"/>
  <c r="H51" i="30"/>
  <c r="F80" i="59"/>
  <c r="J55" i="62"/>
  <c r="G42" i="92"/>
  <c r="M26" i="57"/>
  <c r="L48" i="56"/>
  <c r="K107" i="48"/>
  <c r="I45" i="58"/>
  <c r="F9" i="57"/>
  <c r="H6" i="36"/>
  <c r="M7" i="84"/>
  <c r="O33" i="55"/>
  <c r="H76" i="81"/>
  <c r="J71" i="43"/>
  <c r="D94" i="66"/>
  <c r="E16" i="26"/>
  <c r="F92" i="68"/>
  <c r="N62" i="36"/>
  <c r="E33" i="69"/>
  <c r="F15" i="39"/>
  <c r="O92" i="64"/>
  <c r="K19" i="45"/>
  <c r="L32" i="74"/>
  <c r="J91" i="26"/>
  <c r="K48" i="67"/>
  <c r="N25" i="44"/>
  <c r="E58" i="50"/>
  <c r="D67" i="45"/>
  <c r="D6" i="43"/>
  <c r="K29" i="58"/>
  <c r="I38" i="67"/>
  <c r="F95" i="27"/>
  <c r="L53" i="72"/>
  <c r="J40" i="30"/>
  <c r="I98" i="27"/>
  <c r="G85" i="83"/>
  <c r="N31" i="67"/>
  <c r="N57" i="64"/>
  <c r="O41" i="33"/>
  <c r="F17" i="45"/>
  <c r="I61" i="43"/>
  <c r="D34" i="82"/>
  <c r="H91" i="79"/>
  <c r="E73" i="76"/>
  <c r="O79" i="58"/>
  <c r="M104" i="72"/>
  <c r="J5" i="76"/>
  <c r="M56" i="74"/>
  <c r="F46" i="79"/>
  <c r="I7" i="81"/>
  <c r="N58" i="34"/>
  <c r="L88" i="46"/>
  <c r="H39" i="39"/>
  <c r="E58" i="67"/>
  <c r="N106" i="51"/>
  <c r="O42" i="82"/>
  <c r="I26" i="33"/>
  <c r="L39" i="51"/>
  <c r="K9" i="49"/>
  <c r="F31" i="66"/>
  <c r="M56" i="82"/>
  <c r="I10" i="61"/>
  <c r="D46" i="91"/>
  <c r="K45" i="33"/>
  <c r="F27" i="43"/>
  <c r="E14" i="19"/>
  <c r="K82" i="44"/>
  <c r="J40" i="69"/>
  <c r="E95" i="47"/>
  <c r="E28" i="77"/>
  <c r="K103" i="86"/>
  <c r="F39" i="69"/>
  <c r="O43" i="53"/>
  <c r="N65" i="54"/>
  <c r="L104" i="56"/>
  <c r="F41" i="86"/>
  <c r="G89" i="69"/>
  <c r="D52" i="63"/>
  <c r="H11" i="90"/>
  <c r="D15" i="27"/>
  <c r="D85" i="32"/>
  <c r="L91" i="86"/>
  <c r="H59" i="57"/>
  <c r="E18" i="78"/>
  <c r="K12" i="75"/>
  <c r="F27" i="68"/>
  <c r="L94" i="64"/>
  <c r="N101" i="54"/>
  <c r="I77" i="40"/>
  <c r="M48" i="43"/>
  <c r="O89" i="33"/>
  <c r="G82" i="74"/>
  <c r="M45" i="48"/>
  <c r="I31" i="51"/>
  <c r="E89" i="72"/>
  <c r="E55" i="63"/>
  <c r="J17" i="56"/>
  <c r="J13" i="64"/>
  <c r="L89" i="76"/>
  <c r="O42" i="54"/>
  <c r="D58" i="26"/>
  <c r="I37" i="58"/>
  <c r="M15" i="35"/>
  <c r="N4" i="63"/>
  <c r="G6" i="70"/>
  <c r="K95" i="43"/>
  <c r="F70" i="35"/>
  <c r="M80" i="73"/>
  <c r="H50" i="62"/>
  <c r="D67"/>
  <c r="G67" i="66"/>
  <c r="H24" i="52"/>
  <c r="N86" i="63"/>
  <c r="D67" i="64"/>
  <c r="J47" i="45"/>
  <c r="I36" i="53"/>
  <c r="N91" i="94"/>
  <c r="J82" i="75"/>
  <c r="M94"/>
  <c r="I107" i="83"/>
  <c r="M5" i="92"/>
  <c r="O29" i="55"/>
  <c r="M80" i="65"/>
  <c r="M64" i="30"/>
  <c r="M95" i="60"/>
  <c r="J30" i="68"/>
  <c r="J40" i="43"/>
  <c r="L94" i="89"/>
  <c r="F88" i="92"/>
  <c r="O62" i="58"/>
  <c r="I49" i="90"/>
  <c r="O10" i="48"/>
  <c r="L103" i="26"/>
  <c r="L38" i="55"/>
  <c r="N48" i="71"/>
  <c r="D49" i="46"/>
  <c r="L70" i="25"/>
  <c r="K32" i="35"/>
  <c r="H55" i="72"/>
  <c r="I71" i="40"/>
  <c r="D82" i="66"/>
  <c r="F46" i="80"/>
  <c r="E101" i="83"/>
  <c r="M76" i="74"/>
  <c r="F43" i="38"/>
  <c r="O50" i="75"/>
  <c r="D76" i="76"/>
  <c r="F5" i="84"/>
  <c r="H97" i="27"/>
  <c r="K36" i="81"/>
  <c r="K48" i="58"/>
  <c r="G5" i="57"/>
  <c r="K38" i="69"/>
  <c r="L106" i="87"/>
  <c r="G11" i="48"/>
  <c r="N73" i="19"/>
  <c r="D26" i="55"/>
  <c r="H37" i="76"/>
  <c r="N52"/>
  <c r="G28" i="71"/>
  <c r="L38" i="91"/>
  <c r="G34" i="58"/>
  <c r="L7" i="41"/>
  <c r="J100"/>
  <c r="M20" i="71"/>
  <c r="I35" i="53"/>
  <c r="J20" i="54"/>
  <c r="M54" i="49"/>
  <c r="L36" i="55"/>
  <c r="L94" i="87"/>
  <c r="M23" i="39"/>
  <c r="G71" i="66"/>
  <c r="I95" i="76"/>
  <c r="D94" i="65"/>
  <c r="E64" i="66"/>
  <c r="G25" i="25"/>
  <c r="K25" i="45"/>
  <c r="L33" i="87"/>
  <c r="N12" i="27"/>
  <c r="K16" i="84"/>
  <c r="I28" i="73"/>
  <c r="D107" i="64"/>
  <c r="L73" i="93"/>
  <c r="F104" i="78"/>
  <c r="J41" i="90"/>
  <c r="M107" i="66"/>
  <c r="O82" i="78"/>
  <c r="M18" i="80"/>
  <c r="O30" i="48"/>
  <c r="H13" i="90"/>
  <c r="M31" i="67"/>
  <c r="F107" i="79"/>
  <c r="G58" i="85"/>
  <c r="G34" i="64"/>
  <c r="O47" i="32"/>
  <c r="L43" i="67"/>
  <c r="L80" i="44"/>
  <c r="I4" i="58"/>
  <c r="I82" i="73"/>
  <c r="F40" i="70"/>
  <c r="J33" i="78"/>
  <c r="M16" i="25"/>
  <c r="I12" i="75"/>
  <c r="F37" i="69"/>
  <c r="M39" i="56"/>
  <c r="I65" i="41"/>
  <c r="M50" i="80"/>
  <c r="L107" i="60"/>
  <c r="N51" i="46"/>
  <c r="E51" i="75"/>
  <c r="D51" i="48"/>
  <c r="M8" i="65"/>
  <c r="L25" i="64"/>
  <c r="J37" i="51"/>
  <c r="I91" i="47"/>
  <c r="O64" i="86"/>
  <c r="E54" i="67"/>
  <c r="G91" i="90"/>
  <c r="J61" i="80"/>
  <c r="G91" i="87"/>
  <c r="O6" i="71"/>
  <c r="J70"/>
  <c r="K51" i="51"/>
  <c r="J59" i="72"/>
  <c r="L32" i="73"/>
  <c r="F16" i="48"/>
  <c r="L41" i="66"/>
  <c r="I34" i="52"/>
  <c r="G36" i="70"/>
  <c r="F50" i="74"/>
  <c r="F73" i="52"/>
  <c r="F88" i="84"/>
  <c r="F33" i="56"/>
  <c r="I44" i="44"/>
  <c r="K77" i="80"/>
  <c r="E77" i="94"/>
  <c r="H68" i="25"/>
  <c r="I82" i="64"/>
  <c r="D76" i="80"/>
  <c r="K107" i="84"/>
  <c r="N49" i="56"/>
  <c r="M29" i="86"/>
  <c r="D40" i="72"/>
  <c r="L95" i="54"/>
  <c r="L12" i="66"/>
  <c r="L16" i="36"/>
  <c r="N25" i="56"/>
  <c r="E56" i="69"/>
  <c r="G89" i="64"/>
  <c r="M89" i="93"/>
  <c r="E100" i="19"/>
  <c r="H22" i="90"/>
  <c r="L38" i="63"/>
  <c r="L74" i="83"/>
  <c r="G22" i="70"/>
  <c r="G18" i="46"/>
  <c r="O28" i="58"/>
  <c r="O50" i="32"/>
  <c r="L71" i="25"/>
  <c r="D44" i="94"/>
  <c r="E95" i="78"/>
  <c r="G62" i="87"/>
  <c r="G58" i="39"/>
  <c r="I27" i="61"/>
  <c r="L26" i="49"/>
  <c r="G70" i="48"/>
  <c r="J30" i="75"/>
  <c r="O98" i="38"/>
  <c r="H15" i="94"/>
  <c r="N95" i="69"/>
  <c r="H56" i="92"/>
  <c r="E107" i="87"/>
  <c r="L33" i="33"/>
  <c r="H104" i="62"/>
  <c r="K98" i="19"/>
  <c r="D6" i="33"/>
  <c r="O106" i="75"/>
  <c r="E51" i="30"/>
  <c r="K45" i="66"/>
  <c r="F28" i="84"/>
  <c r="N82" i="35"/>
  <c r="L16" i="66"/>
  <c r="N12" i="58"/>
  <c r="I86" i="72"/>
  <c r="K42" i="89"/>
  <c r="G18" i="33"/>
  <c r="O4" i="59"/>
  <c r="L54" i="87"/>
  <c r="K23" i="38"/>
  <c r="D16" i="25"/>
  <c r="J37" i="32"/>
  <c r="H51" i="45"/>
  <c r="D8" i="25"/>
  <c r="J4" i="82"/>
  <c r="N67" i="94"/>
  <c r="E89" i="78"/>
  <c r="E104" i="36"/>
  <c r="J83" i="43"/>
  <c r="D29" i="41"/>
  <c r="H53" i="73"/>
  <c r="H62" i="65"/>
  <c r="L56" i="57"/>
  <c r="O52" i="55"/>
  <c r="E55" i="86"/>
  <c r="J77" i="46"/>
  <c r="K52" i="71"/>
  <c r="F65" i="46"/>
  <c r="H106" i="27"/>
  <c r="N91" i="43"/>
  <c r="G73" i="64"/>
  <c r="H91" i="65"/>
  <c r="M55" i="27"/>
  <c r="G17" i="65"/>
  <c r="L95" i="43"/>
  <c r="I56" i="78"/>
  <c r="J42" i="91"/>
  <c r="K97" i="58"/>
  <c r="D30" i="27"/>
  <c r="N92" i="55"/>
  <c r="M77" i="39"/>
  <c r="D23" i="45"/>
  <c r="G12" i="84"/>
  <c r="I57" i="71"/>
  <c r="J71" i="61"/>
  <c r="E61" i="66"/>
  <c r="H30" i="27"/>
  <c r="D5" i="76"/>
  <c r="G6" i="71"/>
  <c r="D10" i="55"/>
  <c r="M20" i="73"/>
  <c r="F101" i="67"/>
  <c r="N91" i="59"/>
  <c r="I15" i="54"/>
  <c r="I83" i="51"/>
  <c r="M46" i="26"/>
  <c r="E100" i="71"/>
  <c r="M38" i="53"/>
  <c r="H53" i="54"/>
  <c r="N39" i="56"/>
  <c r="J28" i="79"/>
  <c r="M58" i="57"/>
  <c r="D45" i="81"/>
  <c r="M12" i="27"/>
  <c r="J82" i="68"/>
  <c r="F47" i="19"/>
  <c r="G7" i="61"/>
  <c r="N82" i="76"/>
  <c r="O34" i="45"/>
  <c r="M52" i="72"/>
  <c r="K79" i="74"/>
  <c r="F26" i="55"/>
  <c r="I104" i="66"/>
  <c r="L34" i="93"/>
  <c r="N51" i="26"/>
  <c r="J47" i="90"/>
  <c r="G73" i="75"/>
  <c r="J77" i="57"/>
  <c r="M54" i="82"/>
  <c r="F94" i="86"/>
  <c r="L46" i="44"/>
  <c r="K54" i="53"/>
  <c r="L61" i="36"/>
  <c r="E28" i="80"/>
  <c r="K31" i="58"/>
  <c r="J24" i="67"/>
  <c r="O89" i="59"/>
  <c r="N30" i="82"/>
  <c r="K4" i="51"/>
  <c r="L83" i="63"/>
  <c r="N6" i="87"/>
  <c r="G67" i="72"/>
  <c r="G51" i="80"/>
  <c r="I31" i="26"/>
  <c r="I13" i="59"/>
  <c r="F80" i="62"/>
  <c r="J67" i="82"/>
  <c r="O92" i="32"/>
  <c r="J97" i="59"/>
  <c r="D24" i="66"/>
  <c r="D107" i="55"/>
  <c r="E62" i="85"/>
  <c r="D53" i="61"/>
  <c r="F55" i="35"/>
  <c r="M51"/>
  <c r="N18" i="84"/>
  <c r="O74" i="51"/>
  <c r="D53" i="81"/>
  <c r="L58" i="58"/>
  <c r="L39" i="71"/>
  <c r="I4" i="60"/>
  <c r="D107" i="84"/>
  <c r="E28" i="62"/>
  <c r="F12" i="82"/>
  <c r="H89" i="53"/>
  <c r="G61" i="19"/>
  <c r="D103" i="85"/>
  <c r="K59" i="48"/>
  <c r="G98" i="92"/>
  <c r="L48" i="94"/>
  <c r="O53" i="29"/>
  <c r="H19" i="26"/>
  <c r="D41" i="34"/>
  <c r="I79" i="53"/>
  <c r="J62" i="47"/>
  <c r="F39" i="30"/>
  <c r="E20" i="29"/>
  <c r="F14" i="76"/>
  <c r="N4" i="41"/>
  <c r="D20" i="66"/>
  <c r="D47" i="76"/>
  <c r="M43" i="19"/>
  <c r="J68" i="69"/>
  <c r="E76" i="80"/>
  <c r="M5" i="46"/>
  <c r="N51" i="48"/>
  <c r="H18" i="46"/>
  <c r="N74" i="90"/>
  <c r="J104" i="66"/>
  <c r="H8" i="30"/>
  <c r="F100" i="38"/>
  <c r="F25" i="47"/>
  <c r="G12" i="79"/>
  <c r="I34" i="85"/>
  <c r="J10" i="80"/>
  <c r="D73" i="83"/>
  <c r="N15" i="26"/>
  <c r="D64" i="39"/>
  <c r="H53" i="75"/>
  <c r="D74" i="70"/>
  <c r="K6" i="56"/>
  <c r="G73" i="44"/>
  <c r="J16" i="63"/>
  <c r="G31" i="66"/>
  <c r="N73" i="65"/>
  <c r="I80" i="45"/>
  <c r="N82" i="75"/>
  <c r="D91" i="93"/>
  <c r="I103" i="50"/>
  <c r="J77" i="87"/>
  <c r="H14" i="53"/>
  <c r="D29" i="82"/>
  <c r="K29" i="38"/>
  <c r="N54" i="48"/>
  <c r="M86" i="68"/>
  <c r="N24" i="53"/>
  <c r="D29" i="84"/>
  <c r="K12" i="80"/>
  <c r="H31" i="84"/>
  <c r="I10" i="55"/>
  <c r="L56" i="77"/>
  <c r="J13" i="67"/>
  <c r="E49" i="36"/>
  <c r="K23" i="92"/>
  <c r="O83" i="84"/>
  <c r="N61" i="94"/>
  <c r="G103" i="92"/>
  <c r="I106" i="39"/>
  <c r="E19" i="45"/>
  <c r="K46" i="39"/>
  <c r="N27" i="53"/>
  <c r="M77" i="78"/>
  <c r="G94" i="92"/>
  <c r="N38" i="61"/>
  <c r="F29" i="49"/>
  <c r="G8" i="70"/>
  <c r="M73" i="84"/>
  <c r="G53" i="90"/>
  <c r="K19" i="87"/>
  <c r="H53" i="74"/>
  <c r="N49" i="41"/>
  <c r="K44" i="29"/>
  <c r="L61" i="19"/>
  <c r="J31" i="60"/>
  <c r="E24" i="76"/>
  <c r="D49" i="49"/>
  <c r="O77" i="83"/>
  <c r="N22" i="77"/>
  <c r="G53" i="82"/>
  <c r="I24" i="94"/>
  <c r="E10" i="65"/>
  <c r="O50" i="19"/>
  <c r="L21" i="68"/>
  <c r="K103" i="71"/>
  <c r="D70" i="32"/>
  <c r="L94" i="92"/>
  <c r="M7" i="55"/>
  <c r="M5" i="38"/>
  <c r="F71" i="70"/>
  <c r="M18" i="40"/>
  <c r="D19" i="63"/>
  <c r="N64" i="35"/>
  <c r="H106" i="54"/>
  <c r="I51" i="55"/>
  <c r="K85" i="47"/>
  <c r="F7" i="36"/>
  <c r="F88" i="83"/>
  <c r="M35" i="60"/>
  <c r="H95" i="47"/>
  <c r="L38" i="62"/>
  <c r="O36" i="64"/>
  <c r="G36" i="49"/>
  <c r="K74" i="62"/>
  <c r="D70" i="30"/>
  <c r="G48" i="52"/>
  <c r="J65" i="90"/>
  <c r="I104" i="71"/>
  <c r="D55" i="84"/>
  <c r="J16" i="91"/>
  <c r="O65" i="53"/>
  <c r="M107" i="48"/>
  <c r="F19" i="78"/>
  <c r="N70" i="58"/>
  <c r="K51" i="34"/>
  <c r="D53" i="67"/>
  <c r="J39" i="51"/>
  <c r="J17" i="69"/>
  <c r="N27" i="60"/>
  <c r="O33" i="82"/>
  <c r="I37" i="78"/>
  <c r="K55" i="89"/>
  <c r="N86" i="55"/>
  <c r="O13" i="81"/>
  <c r="M31" i="83"/>
  <c r="J57" i="86"/>
  <c r="D33" i="33"/>
  <c r="I22" i="27"/>
  <c r="F58" i="80"/>
  <c r="O71" i="65"/>
  <c r="D42" i="73"/>
  <c r="L9" i="45"/>
  <c r="E91" i="47"/>
  <c r="I58" i="69"/>
  <c r="I47" i="76"/>
  <c r="M95" i="86"/>
  <c r="K21" i="57"/>
  <c r="F79" i="30"/>
  <c r="M4"/>
  <c r="M11" i="94"/>
  <c r="K12" i="58"/>
  <c r="E32" i="49"/>
  <c r="O13" i="75"/>
  <c r="O21" i="73"/>
  <c r="O92" i="66"/>
  <c r="N10" i="30"/>
  <c r="E25" i="43"/>
  <c r="E16" i="73"/>
  <c r="D19" i="41"/>
  <c r="E86" i="55"/>
  <c r="J61" i="82"/>
  <c r="I70" i="49"/>
  <c r="D103" i="87"/>
  <c r="I59" i="38"/>
  <c r="M76" i="91"/>
  <c r="D62" i="25"/>
  <c r="E51" i="90"/>
  <c r="D36" i="49"/>
  <c r="M74" i="29"/>
  <c r="D86" i="84"/>
  <c r="E70" i="26"/>
  <c r="G104" i="71"/>
  <c r="L42" i="82"/>
  <c r="D42" i="68"/>
  <c r="F70" i="86"/>
  <c r="E73" i="82"/>
  <c r="K98" i="74"/>
  <c r="E7" i="85"/>
  <c r="K46" i="89"/>
  <c r="G24" i="27"/>
  <c r="G28" i="80"/>
  <c r="J97" i="39"/>
  <c r="H54" i="83"/>
  <c r="I25" i="48"/>
  <c r="O71" i="92"/>
  <c r="I32" i="56"/>
  <c r="J35" i="59"/>
  <c r="K17" i="62"/>
  <c r="E36" i="66"/>
  <c r="K43" i="67"/>
  <c r="F64" i="32"/>
  <c r="M36" i="30"/>
  <c r="O26" i="46"/>
  <c r="E97" i="42"/>
  <c r="E79" i="80"/>
  <c r="K57" i="41"/>
  <c r="G107" i="36"/>
  <c r="D14" i="50"/>
  <c r="G12" i="60"/>
  <c r="I61" i="94"/>
  <c r="L19" i="33"/>
  <c r="J74" i="71"/>
  <c r="N70" i="65"/>
  <c r="F19" i="92"/>
  <c r="G39" i="43"/>
  <c r="I38" i="75"/>
  <c r="J22" i="62"/>
  <c r="G30" i="58"/>
  <c r="D32" i="46"/>
  <c r="O29" i="76"/>
  <c r="O79" i="49"/>
  <c r="M28" i="25"/>
  <c r="G58" i="72"/>
  <c r="E80" i="75"/>
  <c r="L36" i="91"/>
  <c r="J79" i="63"/>
  <c r="N79" i="68"/>
  <c r="J32" i="72"/>
  <c r="O64" i="76"/>
  <c r="D35" i="46"/>
  <c r="K55" i="40"/>
  <c r="F55" i="63"/>
  <c r="I47" i="82"/>
  <c r="F56" i="67"/>
  <c r="H107" i="87"/>
  <c r="F13" i="78"/>
  <c r="H20" i="41"/>
  <c r="D47" i="53"/>
  <c r="E22" i="71"/>
  <c r="G56" i="85"/>
  <c r="J94" i="57"/>
  <c r="G29"/>
  <c r="M100" i="69"/>
  <c r="L34" i="55"/>
  <c r="F9" i="43"/>
  <c r="K94" i="38"/>
  <c r="J33" i="30"/>
  <c r="N26" i="74"/>
  <c r="J106" i="68"/>
  <c r="L104" i="38"/>
  <c r="O68" i="94"/>
  <c r="E34" i="42"/>
  <c r="O31" i="76"/>
  <c r="H22" i="36"/>
  <c r="K32" i="94"/>
  <c r="O43" i="83"/>
  <c r="L30" i="27"/>
  <c r="E55" i="25"/>
  <c r="K59" i="92"/>
  <c r="O20" i="86"/>
  <c r="J107" i="74"/>
  <c r="N61" i="59"/>
  <c r="K98" i="58"/>
  <c r="G74" i="55"/>
  <c r="G31" i="64"/>
  <c r="F20" i="36"/>
  <c r="I20" i="49"/>
  <c r="O6" i="40"/>
  <c r="O100" i="29"/>
  <c r="N17" i="65"/>
  <c r="N49" i="48"/>
  <c r="M37" i="25"/>
  <c r="D23" i="72"/>
  <c r="E6" i="54"/>
  <c r="K15" i="26"/>
  <c r="I39" i="64"/>
  <c r="K67" i="75"/>
  <c r="F8" i="94"/>
  <c r="F104" i="67"/>
  <c r="D80" i="82"/>
  <c r="J86" i="51"/>
  <c r="I47" i="59"/>
  <c r="L103" i="86"/>
  <c r="L61" i="33"/>
  <c r="N83" i="56"/>
  <c r="K10" i="76"/>
  <c r="D73" i="61"/>
  <c r="E94" i="64"/>
  <c r="M73" i="77"/>
  <c r="J22" i="72"/>
  <c r="M97" i="30"/>
  <c r="H56" i="36"/>
  <c r="D40" i="62"/>
  <c r="H21" i="67"/>
  <c r="G97" i="29"/>
  <c r="I56"/>
  <c r="M79" i="36"/>
  <c r="M68" i="87"/>
  <c r="D40" i="76"/>
  <c r="H83" i="36"/>
  <c r="N25" i="74"/>
  <c r="N61" i="19"/>
  <c r="N74" i="70"/>
  <c r="M47" i="38"/>
  <c r="F58" i="83"/>
  <c r="H36" i="27"/>
  <c r="D26" i="54"/>
  <c r="H38" i="66"/>
  <c r="I57" i="54"/>
  <c r="L32" i="71"/>
  <c r="H10" i="38"/>
  <c r="F62" i="44"/>
  <c r="O95"/>
  <c r="N37" i="56"/>
  <c r="F80" i="61"/>
  <c r="H12" i="39"/>
  <c r="N52" i="34"/>
  <c r="M45" i="57"/>
  <c r="D98" i="63"/>
  <c r="E85" i="93"/>
  <c r="G86" i="61"/>
  <c r="O31" i="80"/>
  <c r="L89" i="72"/>
  <c r="E45" i="54"/>
  <c r="I49" i="80"/>
  <c r="J8" i="76"/>
  <c r="L47" i="61"/>
  <c r="E24" i="83"/>
  <c r="E107" i="63"/>
  <c r="L103" i="29"/>
  <c r="N28" i="70"/>
  <c r="N18" i="35"/>
  <c r="H9" i="84"/>
  <c r="D41" i="73"/>
  <c r="L86" i="46"/>
  <c r="O49" i="48"/>
  <c r="J70" i="78"/>
  <c r="K14" i="53"/>
  <c r="M31" i="60"/>
  <c r="G101" i="29"/>
  <c r="I106" i="34"/>
  <c r="E74" i="52"/>
  <c r="H34" i="46"/>
  <c r="M83" i="60"/>
  <c r="G56" i="93"/>
  <c r="E104" i="49"/>
  <c r="K34" i="68"/>
  <c r="M46" i="90"/>
  <c r="H26" i="62"/>
  <c r="M26" i="45"/>
  <c r="H58" i="94"/>
  <c r="D92" i="56"/>
  <c r="O28" i="49"/>
  <c r="F14" i="93"/>
  <c r="H4" i="49"/>
  <c r="I62" i="35"/>
  <c r="H46" i="89"/>
  <c r="H7" i="79"/>
  <c r="J65" i="59"/>
  <c r="G101" i="75"/>
  <c r="L22" i="67"/>
  <c r="K101" i="43"/>
  <c r="I101" i="75"/>
  <c r="G50" i="78"/>
  <c r="H94" i="71"/>
  <c r="I59" i="35"/>
  <c r="D8" i="19"/>
  <c r="D104" i="65"/>
  <c r="G68" i="53"/>
  <c r="G62" i="19"/>
  <c r="J14" i="46"/>
  <c r="I35" i="69"/>
  <c r="F62" i="92"/>
  <c r="J5" i="45"/>
  <c r="L13" i="74"/>
  <c r="D39" i="94"/>
  <c r="H38" i="25"/>
  <c r="G46" i="63"/>
  <c r="K56" i="82"/>
  <c r="I47" i="25"/>
  <c r="J35" i="19"/>
  <c r="E43" i="39"/>
  <c r="F11" i="83"/>
  <c r="L98" i="27"/>
  <c r="M27" i="80"/>
  <c r="G65"/>
  <c r="N52" i="62"/>
  <c r="N16" i="94"/>
  <c r="H36" i="91"/>
  <c r="E88"/>
  <c r="J73" i="86"/>
  <c r="N8" i="53"/>
  <c r="I62" i="58"/>
  <c r="F89" i="25"/>
  <c r="D95" i="79"/>
  <c r="O23" i="41"/>
  <c r="L86" i="19"/>
  <c r="O33" i="47"/>
  <c r="H30" i="86"/>
  <c r="J31" i="48"/>
  <c r="J80" i="33"/>
  <c r="J29" i="48"/>
  <c r="K10" i="45"/>
  <c r="G54" i="52"/>
  <c r="J64" i="36"/>
  <c r="F98" i="39"/>
  <c r="H28" i="43"/>
  <c r="F83" i="87"/>
  <c r="J39" i="29"/>
  <c r="J45" i="55"/>
  <c r="K52" i="90"/>
  <c r="N83" i="61"/>
  <c r="F31" i="85"/>
  <c r="G98" i="27"/>
  <c r="J64" i="94"/>
  <c r="L54" i="59"/>
  <c r="F58" i="75"/>
  <c r="D95" i="72"/>
  <c r="N4" i="47"/>
  <c r="I91" i="27"/>
  <c r="O59" i="80"/>
  <c r="K18" i="78"/>
  <c r="M37" i="84"/>
  <c r="J46" i="48"/>
  <c r="L95" i="25"/>
  <c r="F74" i="81"/>
  <c r="O48" i="66"/>
  <c r="G94" i="87"/>
  <c r="N11"/>
  <c r="I76"/>
  <c r="F33" i="50"/>
  <c r="N101" i="73"/>
  <c r="D88" i="77"/>
  <c r="K19" i="86"/>
  <c r="M74" i="51"/>
  <c r="N58" i="72"/>
  <c r="J59" i="51"/>
  <c r="F36" i="68"/>
  <c r="E43" i="70"/>
  <c r="K6" i="94"/>
  <c r="H58" i="70"/>
  <c r="L92" i="44"/>
  <c r="F6" i="87"/>
  <c r="E34" i="30"/>
  <c r="N51" i="35"/>
  <c r="D46" i="62"/>
  <c r="N26" i="35"/>
  <c r="O97" i="75"/>
  <c r="G65" i="64"/>
  <c r="L14" i="67"/>
  <c r="G15" i="65"/>
  <c r="I101" i="30"/>
  <c r="E41" i="80"/>
  <c r="F104" i="92"/>
  <c r="I21" i="79"/>
  <c r="O107" i="46"/>
  <c r="M58" i="84"/>
  <c r="J47" i="83"/>
  <c r="O50" i="94"/>
  <c r="N57" i="86"/>
  <c r="G48" i="81"/>
  <c r="K98" i="25"/>
  <c r="G50" i="82"/>
  <c r="I91" i="66"/>
  <c r="E70" i="70"/>
  <c r="O70" i="67"/>
  <c r="O44" i="69"/>
  <c r="K29" i="59"/>
  <c r="H51" i="66"/>
  <c r="J86" i="38"/>
  <c r="M74" i="87"/>
  <c r="J98" i="36"/>
  <c r="H24" i="40"/>
  <c r="H31" i="69"/>
  <c r="N62" i="53"/>
  <c r="F79" i="19"/>
  <c r="M58" i="81"/>
  <c r="I18" i="40"/>
  <c r="F101" i="59"/>
  <c r="L79" i="56"/>
  <c r="I48" i="85"/>
  <c r="O53" i="32"/>
  <c r="N43" i="76"/>
  <c r="H4" i="91"/>
  <c r="N100" i="38"/>
  <c r="D22" i="70"/>
  <c r="G31" i="26"/>
  <c r="I98" i="62"/>
  <c r="H91" i="66"/>
  <c r="M61" i="39"/>
  <c r="J24" i="46"/>
  <c r="G8" i="66"/>
  <c r="N28" i="83"/>
  <c r="N6" i="45"/>
  <c r="N50" i="41"/>
  <c r="N104" i="71"/>
  <c r="D13" i="85"/>
  <c r="I31" i="63"/>
  <c r="F95" i="36"/>
  <c r="E62" i="55"/>
  <c r="G16" i="71"/>
  <c r="F36" i="72"/>
  <c r="L45" i="70"/>
  <c r="G33" i="74"/>
  <c r="K29" i="40"/>
  <c r="H107" i="32"/>
  <c r="J47" i="60"/>
  <c r="H95" i="50"/>
  <c r="D14" i="46"/>
  <c r="L17" i="90"/>
  <c r="J58" i="50"/>
  <c r="K54" i="29"/>
  <c r="G100" i="87"/>
  <c r="F79" i="75"/>
  <c r="F76" i="54"/>
  <c r="D91" i="70"/>
  <c r="D16" i="38"/>
  <c r="N9" i="86"/>
  <c r="I68" i="44"/>
  <c r="G26" i="89"/>
  <c r="K7" i="75"/>
  <c r="M43" i="78"/>
  <c r="I73" i="87"/>
  <c r="J33" i="76"/>
  <c r="K21" i="44"/>
  <c r="E104" i="77"/>
  <c r="M45" i="93"/>
  <c r="F25" i="34"/>
  <c r="M49" i="78"/>
  <c r="K5" i="53"/>
  <c r="G85" i="30"/>
  <c r="M62" i="87"/>
  <c r="K5" i="39"/>
  <c r="L79" i="32"/>
  <c r="D33" i="68"/>
  <c r="D26" i="94"/>
  <c r="N44" i="83"/>
  <c r="D25" i="55"/>
  <c r="O83" i="47"/>
  <c r="J101" i="80"/>
  <c r="L19" i="55"/>
  <c r="F42" i="26"/>
  <c r="H51" i="72"/>
  <c r="M15" i="69"/>
  <c r="K9" i="46"/>
  <c r="K58" i="19"/>
  <c r="J65" i="50"/>
  <c r="G65" i="55"/>
  <c r="G61" i="35"/>
  <c r="O59" i="76"/>
  <c r="O27" i="35"/>
  <c r="F17" i="90"/>
  <c r="O30" i="54"/>
  <c r="G33" i="48"/>
  <c r="N17" i="67"/>
  <c r="D30" i="79"/>
  <c r="G42" i="36"/>
  <c r="L49" i="38"/>
  <c r="I83" i="58"/>
  <c r="H24" i="50"/>
  <c r="G6" i="94"/>
  <c r="E33" i="70"/>
  <c r="J73" i="59"/>
  <c r="F25" i="26"/>
  <c r="M73" i="58"/>
  <c r="M7" i="61"/>
  <c r="J27" i="33"/>
  <c r="M25" i="32"/>
  <c r="K103" i="81"/>
  <c r="J52" i="67"/>
  <c r="K83" i="47"/>
  <c r="I79" i="66"/>
  <c r="I36" i="83"/>
  <c r="K57" i="35"/>
  <c r="H43" i="38"/>
  <c r="M34" i="33"/>
  <c r="I37" i="94"/>
  <c r="M53" i="68"/>
  <c r="J80" i="92"/>
  <c r="O58" i="72"/>
  <c r="F13" i="74"/>
  <c r="J37" i="89"/>
  <c r="I48" i="33"/>
  <c r="L47" i="92"/>
  <c r="L79" i="48"/>
  <c r="N52" i="93"/>
  <c r="J88" i="48"/>
  <c r="N64" i="93"/>
  <c r="H71" i="44"/>
  <c r="N76" i="70"/>
  <c r="E11" i="49"/>
  <c r="O80" i="70"/>
  <c r="D106" i="19"/>
  <c r="D19" i="62"/>
  <c r="F79" i="77"/>
  <c r="E59" i="40"/>
  <c r="M103" i="72"/>
  <c r="O88" i="74"/>
  <c r="K43" i="39"/>
  <c r="K10" i="72"/>
  <c r="M74" i="56"/>
  <c r="H86" i="42"/>
  <c r="J83" i="86"/>
  <c r="J7" i="45"/>
  <c r="E22" i="41"/>
  <c r="L7" i="19"/>
  <c r="O107" i="32"/>
  <c r="I106" i="60"/>
  <c r="J30" i="34"/>
  <c r="O51" i="71"/>
  <c r="E27" i="36"/>
  <c r="F71" i="66"/>
  <c r="L20" i="83"/>
  <c r="J47" i="68"/>
  <c r="F52" i="69"/>
  <c r="F52" i="76"/>
  <c r="J15" i="47"/>
  <c r="J94" i="70"/>
  <c r="G85" i="87"/>
  <c r="E77" i="92"/>
  <c r="O10" i="58"/>
  <c r="E73" i="38"/>
  <c r="N89" i="34"/>
  <c r="G18" i="66"/>
  <c r="I19" i="91"/>
  <c r="F83" i="89"/>
  <c r="I49" i="72"/>
  <c r="H6" i="71"/>
  <c r="G51" i="67"/>
  <c r="E6" i="72"/>
  <c r="F23" i="66"/>
  <c r="H42" i="27"/>
  <c r="L65"/>
  <c r="K92" i="61"/>
  <c r="G33" i="57"/>
  <c r="I94" i="84"/>
  <c r="D46" i="57"/>
  <c r="I40" i="68"/>
  <c r="N95" i="65"/>
  <c r="K70" i="48"/>
  <c r="N31" i="86"/>
  <c r="O101" i="77"/>
  <c r="M74" i="81"/>
  <c r="E48" i="82"/>
  <c r="M39" i="34"/>
  <c r="M98" i="41"/>
  <c r="E58" i="66"/>
  <c r="I80" i="76"/>
  <c r="H94" i="86"/>
  <c r="E29" i="65"/>
  <c r="N8" i="64"/>
  <c r="M39" i="81"/>
  <c r="N24" i="93"/>
  <c r="G4" i="48"/>
  <c r="K11" i="55"/>
  <c r="M29" i="62"/>
  <c r="D59" i="55"/>
  <c r="L30" i="43"/>
  <c r="N17" i="32"/>
  <c r="M82" i="41"/>
  <c r="O91" i="19"/>
  <c r="D7" i="69"/>
  <c r="H61" i="27"/>
  <c r="M107" i="25"/>
  <c r="E107" i="68"/>
  <c r="L89" i="84"/>
  <c r="G85" i="53"/>
  <c r="L98" i="71"/>
  <c r="K20" i="46"/>
  <c r="J13" i="59"/>
  <c r="I17" i="46"/>
  <c r="I38" i="35"/>
  <c r="J74" i="89"/>
  <c r="F86" i="48"/>
  <c r="F49" i="19"/>
  <c r="I79" i="76"/>
  <c r="E15" i="50"/>
  <c r="E94" i="47"/>
  <c r="I14" i="92"/>
  <c r="I6" i="81"/>
  <c r="N23" i="45"/>
  <c r="D42" i="27"/>
  <c r="G94" i="33"/>
  <c r="D100" i="19"/>
  <c r="E73" i="48"/>
  <c r="L5" i="60"/>
  <c r="J25" i="19"/>
  <c r="K59" i="69"/>
  <c r="D8" i="30"/>
  <c r="K74" i="71"/>
  <c r="H49" i="81"/>
  <c r="O45" i="75"/>
  <c r="E77" i="41"/>
  <c r="J4" i="49"/>
  <c r="G22"/>
  <c r="O4" i="70"/>
  <c r="M82" i="71"/>
  <c r="J42" i="34"/>
  <c r="G86" i="60"/>
  <c r="L36" i="57"/>
  <c r="G55" i="78"/>
  <c r="G79" i="65"/>
  <c r="O45" i="60"/>
  <c r="G73" i="87"/>
  <c r="F58" i="64"/>
  <c r="N67" i="34"/>
  <c r="L19" i="81"/>
  <c r="L27" i="26"/>
  <c r="J79" i="75"/>
  <c r="M10" i="67"/>
  <c r="L58" i="64"/>
  <c r="L65" i="56"/>
  <c r="O76" i="87"/>
  <c r="F76" i="33"/>
  <c r="M68" i="27"/>
  <c r="M37" i="47"/>
  <c r="M64" i="83"/>
  <c r="M46" i="64"/>
  <c r="O36" i="73"/>
  <c r="N5" i="46"/>
  <c r="G42" i="49"/>
  <c r="K88" i="25"/>
  <c r="E97" i="32"/>
  <c r="J46" i="69"/>
  <c r="F25" i="74"/>
  <c r="F51" i="86"/>
  <c r="K44" i="47"/>
  <c r="I45" i="44"/>
  <c r="M68" i="41"/>
  <c r="L80" i="73"/>
  <c r="N86" i="94"/>
  <c r="N38" i="33"/>
  <c r="H59" i="49"/>
  <c r="L106" i="73"/>
  <c r="K22" i="36"/>
  <c r="E5" i="77"/>
  <c r="L51" i="58"/>
  <c r="G13" i="49"/>
  <c r="L14" i="46"/>
  <c r="L77" i="89"/>
  <c r="O9" i="30"/>
  <c r="G104" i="78"/>
  <c r="O13" i="84"/>
  <c r="E42" i="49"/>
  <c r="D46" i="29"/>
  <c r="J20" i="41"/>
  <c r="I37" i="59"/>
  <c r="J43" i="82"/>
  <c r="E34" i="33"/>
  <c r="M8" i="29"/>
  <c r="I79" i="59"/>
  <c r="I43" i="67"/>
  <c r="N62" i="84"/>
  <c r="M92" i="68"/>
  <c r="F94"/>
  <c r="D76" i="71"/>
  <c r="N31" i="69"/>
  <c r="J49" i="19"/>
  <c r="K103" i="32"/>
  <c r="D52" i="47"/>
  <c r="F24" i="84"/>
  <c r="F53" i="67"/>
  <c r="K53" i="73"/>
  <c r="N98" i="45"/>
  <c r="H11" i="64"/>
  <c r="K73" i="73"/>
  <c r="E89" i="32"/>
  <c r="N15" i="86"/>
  <c r="N58" i="32"/>
  <c r="K52" i="40"/>
  <c r="D10" i="32"/>
  <c r="F42" i="67"/>
  <c r="O83" i="82"/>
  <c r="I10" i="46"/>
  <c r="G98" i="19"/>
  <c r="G5" i="58"/>
  <c r="G21" i="92"/>
  <c r="I5" i="32"/>
  <c r="K42" i="29"/>
  <c r="J14" i="91"/>
  <c r="O68" i="76"/>
  <c r="E79" i="19"/>
  <c r="D10" i="73"/>
  <c r="D48" i="38"/>
  <c r="G74"/>
  <c r="N57" i="48"/>
  <c r="D33" i="29"/>
  <c r="D89" i="77"/>
  <c r="D7" i="81"/>
  <c r="N41" i="72"/>
  <c r="N42" i="94"/>
  <c r="F6" i="83"/>
  <c r="D94" i="51"/>
  <c r="H56" i="85"/>
  <c r="E59" i="63"/>
  <c r="J62" i="49"/>
  <c r="F42" i="59"/>
  <c r="H32" i="45"/>
  <c r="J19" i="82"/>
  <c r="D32" i="54"/>
  <c r="I104" i="82"/>
  <c r="N85" i="35"/>
  <c r="D17" i="53"/>
  <c r="K31" i="38"/>
  <c r="L18" i="87"/>
  <c r="M47" i="59"/>
  <c r="L22" i="53"/>
  <c r="O52" i="60"/>
  <c r="N101" i="38"/>
  <c r="I61" i="63"/>
  <c r="D98" i="64"/>
  <c r="G97" i="47"/>
  <c r="E47" i="77"/>
  <c r="H100" i="86"/>
  <c r="K95" i="75"/>
  <c r="N57" i="34"/>
  <c r="N14" i="48"/>
  <c r="L27" i="66"/>
  <c r="J13" i="62"/>
  <c r="M67" i="63"/>
  <c r="O100" i="41"/>
  <c r="D70" i="27"/>
  <c r="H49" i="34"/>
  <c r="H89" i="65"/>
  <c r="L40" i="68"/>
  <c r="N32" i="25"/>
  <c r="G107" i="75"/>
  <c r="H30" i="50"/>
  <c r="N7" i="54"/>
  <c r="H88" i="47"/>
  <c r="D71" i="58"/>
  <c r="O48" i="53"/>
  <c r="F20" i="84"/>
  <c r="D5" i="32"/>
  <c r="G77" i="78"/>
  <c r="J64" i="40"/>
  <c r="J68" i="62"/>
  <c r="M12" i="67"/>
  <c r="J76" i="89"/>
  <c r="L52" i="92"/>
  <c r="H54" i="93"/>
  <c r="D6" i="79"/>
  <c r="G11" i="93"/>
  <c r="I77" i="82"/>
  <c r="H34" i="33"/>
  <c r="L64" i="59"/>
  <c r="O52" i="64"/>
  <c r="N30" i="48"/>
  <c r="M43" i="67"/>
  <c r="H7" i="25"/>
  <c r="O19" i="93"/>
  <c r="H9" i="41"/>
  <c r="O5" i="73"/>
  <c r="G16" i="85"/>
  <c r="G26" i="77"/>
  <c r="I89" i="60"/>
  <c r="H64" i="45"/>
  <c r="J95" i="40"/>
  <c r="F25" i="68"/>
  <c r="I57" i="76"/>
  <c r="I31" i="45"/>
  <c r="J50" i="69"/>
  <c r="O15" i="51"/>
  <c r="I62" i="68"/>
  <c r="J17" i="26"/>
  <c r="F95" i="67"/>
  <c r="G74" i="44"/>
  <c r="M91"/>
  <c r="F4" i="85"/>
  <c r="F48" i="30"/>
  <c r="K47" i="25"/>
  <c r="H16"/>
  <c r="M82" i="40"/>
  <c r="N24" i="82"/>
  <c r="H71" i="83"/>
  <c r="O24" i="45"/>
  <c r="D32" i="80"/>
  <c r="M34" i="58"/>
  <c r="L40" i="43"/>
  <c r="I31" i="52"/>
  <c r="E54" i="30"/>
  <c r="L92" i="89"/>
  <c r="M40" i="84"/>
  <c r="N13" i="47"/>
  <c r="G68" i="94"/>
  <c r="K54" i="56"/>
  <c r="O74" i="65"/>
  <c r="I9" i="66"/>
  <c r="G38" i="32"/>
  <c r="M106" i="51"/>
  <c r="O29" i="60"/>
  <c r="O39" i="44"/>
  <c r="K28" i="80"/>
  <c r="E43" i="82"/>
  <c r="L55" i="46"/>
  <c r="H38" i="73"/>
  <c r="J42" i="84"/>
  <c r="G38" i="57"/>
  <c r="H67" i="48"/>
  <c r="G46" i="94"/>
  <c r="L21" i="60"/>
  <c r="G50" i="65"/>
  <c r="F73" i="44"/>
  <c r="M107" i="46"/>
  <c r="G50" i="94"/>
  <c r="D92" i="67"/>
  <c r="H103" i="52"/>
  <c r="G67" i="41"/>
  <c r="J10" i="65"/>
  <c r="F80" i="77"/>
  <c r="D35" i="56"/>
  <c r="M46" i="87"/>
  <c r="F86" i="78"/>
  <c r="D92" i="55"/>
  <c r="E79" i="59"/>
  <c r="J12" i="35"/>
  <c r="F86" i="79"/>
  <c r="G106" i="38"/>
  <c r="O38" i="53"/>
  <c r="G6" i="49"/>
  <c r="D76" i="79"/>
  <c r="I95" i="92"/>
  <c r="J6" i="59"/>
  <c r="L7" i="39"/>
  <c r="F7" i="76"/>
  <c r="E10" i="58"/>
  <c r="I94" i="74"/>
  <c r="D48" i="52"/>
  <c r="N94" i="61"/>
  <c r="M12" i="58"/>
  <c r="M50" i="60"/>
  <c r="K83" i="48"/>
  <c r="F8" i="33"/>
  <c r="M48" i="59"/>
  <c r="D39" i="93"/>
  <c r="E55" i="50"/>
  <c r="H79" i="90"/>
  <c r="J41" i="75"/>
  <c r="D85" i="85"/>
  <c r="F26"/>
  <c r="D31" i="64"/>
  <c r="N11" i="33"/>
  <c r="F98" i="57"/>
  <c r="O16" i="78"/>
  <c r="F32" i="60"/>
  <c r="H11" i="69"/>
  <c r="M36" i="32"/>
  <c r="D98" i="56"/>
  <c r="F28" i="81"/>
  <c r="I16" i="89"/>
  <c r="D52" i="51"/>
  <c r="D29" i="26"/>
  <c r="E18" i="83"/>
  <c r="J28" i="55"/>
  <c r="N15" i="72"/>
  <c r="M8" i="58"/>
  <c r="O17" i="89"/>
  <c r="M22" i="51"/>
  <c r="M30" i="55"/>
  <c r="D49" i="94"/>
  <c r="G56" i="83"/>
  <c r="O10" i="64"/>
  <c r="G106" i="84"/>
  <c r="L89" i="38"/>
  <c r="J97" i="77"/>
  <c r="H23" i="41"/>
  <c r="L31" i="46"/>
  <c r="N37" i="27"/>
  <c r="N101" i="82"/>
  <c r="N32" i="55"/>
  <c r="O82" i="25"/>
  <c r="I95" i="27"/>
  <c r="K11" i="69"/>
  <c r="K10" i="47"/>
  <c r="H58" i="90"/>
  <c r="D27" i="83"/>
  <c r="I68" i="72"/>
  <c r="N48" i="90"/>
  <c r="G18" i="94"/>
  <c r="E85" i="62"/>
  <c r="H73" i="70"/>
  <c r="O73" i="71"/>
  <c r="G59" i="92"/>
  <c r="E106" i="91"/>
  <c r="G9" i="56"/>
  <c r="I101" i="74"/>
  <c r="E26" i="29"/>
  <c r="E59" i="81"/>
  <c r="O74" i="86"/>
  <c r="F46" i="74"/>
  <c r="D49" i="63"/>
  <c r="F46" i="87"/>
  <c r="O45" i="81"/>
  <c r="I71" i="83"/>
  <c r="I6" i="77"/>
  <c r="M34" i="49"/>
  <c r="K41" i="91"/>
  <c r="K65" i="60"/>
  <c r="J39" i="68"/>
  <c r="E48" i="86"/>
  <c r="E89" i="65"/>
  <c r="J49" i="74"/>
  <c r="K44" i="90"/>
  <c r="O56" i="49"/>
  <c r="I35" i="73"/>
  <c r="D86" i="34"/>
  <c r="N88" i="71"/>
  <c r="K14" i="92"/>
  <c r="K100" i="26"/>
  <c r="F11" i="63"/>
  <c r="E11" i="75"/>
  <c r="F49" i="46"/>
  <c r="K79" i="54"/>
  <c r="H16" i="51"/>
  <c r="L91" i="38"/>
  <c r="F61" i="87"/>
  <c r="M8" i="80"/>
  <c r="N61" i="69"/>
  <c r="M104" i="54"/>
  <c r="E65" i="93"/>
  <c r="O42" i="86"/>
  <c r="K25" i="68"/>
  <c r="D61" i="51"/>
  <c r="L97" i="49"/>
  <c r="G39" i="75"/>
  <c r="D43" i="85"/>
  <c r="O59" i="47"/>
  <c r="J38" i="74"/>
  <c r="M49" i="92"/>
  <c r="K46" i="82"/>
  <c r="L58" i="35"/>
  <c r="D30" i="89"/>
  <c r="G80" i="65"/>
  <c r="G17" i="52"/>
  <c r="N11" i="83"/>
  <c r="I58" i="68"/>
  <c r="H30" i="85"/>
  <c r="M65" i="53"/>
  <c r="N77" i="81"/>
  <c r="I106" i="65"/>
  <c r="O19" i="80"/>
  <c r="F19" i="51"/>
  <c r="N103" i="86"/>
  <c r="J49" i="79"/>
  <c r="I22" i="72"/>
  <c r="J33" i="59"/>
  <c r="F42" i="94"/>
  <c r="M68" i="56"/>
  <c r="H77" i="69"/>
  <c r="H70" i="36"/>
  <c r="K5" i="74"/>
  <c r="M68" i="70"/>
  <c r="G61" i="29"/>
  <c r="K55" i="26"/>
  <c r="L95" i="49"/>
  <c r="I107" i="68"/>
  <c r="F83" i="29"/>
  <c r="L24" i="62"/>
  <c r="H27" i="49"/>
  <c r="G51" i="29"/>
  <c r="I98" i="80"/>
  <c r="F100" i="56"/>
  <c r="N92" i="92"/>
  <c r="H41" i="55"/>
  <c r="I32" i="58"/>
  <c r="G31" i="71"/>
  <c r="M4" i="78"/>
  <c r="G7" i="93"/>
  <c r="J101" i="65"/>
  <c r="N68" i="69"/>
  <c r="J21" i="57"/>
  <c r="O71" i="90"/>
  <c r="G53" i="74"/>
  <c r="E17" i="92"/>
  <c r="L7" i="77"/>
  <c r="F104" i="76"/>
  <c r="O26" i="58"/>
  <c r="G80" i="74"/>
  <c r="G79" i="69"/>
  <c r="E104" i="26"/>
  <c r="F12" i="58"/>
  <c r="L11" i="19"/>
  <c r="K31" i="72"/>
  <c r="O11" i="44"/>
  <c r="D92" i="25"/>
  <c r="H61" i="77"/>
  <c r="J33" i="70"/>
  <c r="I88" i="34"/>
  <c r="H94" i="30"/>
  <c r="M50" i="92"/>
  <c r="J6" i="44"/>
  <c r="H14" i="57"/>
  <c r="E14" i="94"/>
  <c r="I92" i="80"/>
  <c r="N67" i="49"/>
  <c r="J40" i="79"/>
  <c r="G54" i="55"/>
  <c r="H83" i="84"/>
  <c r="D26" i="81"/>
  <c r="K11" i="83"/>
  <c r="M19" i="58"/>
  <c r="I19" i="40"/>
  <c r="F54" i="93"/>
  <c r="H88" i="60"/>
  <c r="O32" i="36"/>
  <c r="H76" i="55"/>
  <c r="G22" i="64"/>
  <c r="O52" i="19"/>
  <c r="E16" i="30"/>
  <c r="M6" i="38"/>
  <c r="F40" i="46"/>
  <c r="M55" i="36"/>
  <c r="M8" i="69"/>
  <c r="O16" i="71"/>
  <c r="G67" i="75"/>
  <c r="K17" i="80"/>
  <c r="F29" i="64"/>
  <c r="E8" i="40"/>
  <c r="K61" i="91"/>
  <c r="O31" i="69"/>
  <c r="N47" i="39"/>
  <c r="E88" i="74"/>
  <c r="H19" i="87"/>
  <c r="I36" i="46"/>
  <c r="F57" i="77"/>
  <c r="J25" i="65"/>
  <c r="F33" i="19"/>
  <c r="E104" i="47"/>
  <c r="K34" i="19"/>
  <c r="O70" i="45"/>
  <c r="O40" i="58"/>
  <c r="M52" i="36"/>
  <c r="I73" i="91"/>
  <c r="L57" i="53"/>
  <c r="G106" i="40"/>
  <c r="K89" i="19"/>
  <c r="I76" i="27"/>
  <c r="N73" i="68"/>
  <c r="H11" i="58"/>
  <c r="G67" i="19"/>
  <c r="F45" i="78"/>
  <c r="O51" i="53"/>
  <c r="J57" i="58"/>
  <c r="M18" i="46"/>
  <c r="L22" i="83"/>
  <c r="N39" i="36"/>
  <c r="F26" i="79"/>
  <c r="K41" i="29"/>
  <c r="N7" i="92"/>
  <c r="E7" i="49"/>
  <c r="L95" i="47"/>
  <c r="H94" i="25"/>
  <c r="D35" i="86"/>
  <c r="E95" i="57"/>
  <c r="F32" i="77"/>
  <c r="H6" i="40"/>
  <c r="F34" i="77"/>
  <c r="E62" i="52"/>
  <c r="F34" i="85"/>
  <c r="F36" i="48"/>
  <c r="G28" i="33"/>
  <c r="G79" i="81"/>
  <c r="D27" i="56"/>
  <c r="K95" i="94"/>
  <c r="E37" i="52"/>
  <c r="J16" i="55"/>
  <c r="K68" i="64"/>
  <c r="M39" i="35"/>
  <c r="G5" i="66"/>
  <c r="I11" i="25"/>
  <c r="F17" i="57"/>
  <c r="J9" i="92"/>
  <c r="L47" i="74"/>
  <c r="H71" i="72"/>
  <c r="I13" i="38"/>
  <c r="I53" i="25"/>
  <c r="M79" i="74"/>
  <c r="I83" i="79"/>
  <c r="J88" i="84"/>
  <c r="L70" i="82"/>
  <c r="L11" i="27"/>
  <c r="I43" i="59"/>
  <c r="J5" i="78"/>
  <c r="D46" i="74"/>
  <c r="H14" i="63"/>
  <c r="CK61" i="3"/>
  <c r="L45" i="44"/>
  <c r="F79" i="55"/>
  <c r="K89" i="82"/>
  <c r="E94" i="49"/>
  <c r="F57" i="71"/>
  <c r="K56" i="63"/>
  <c r="N85" i="38"/>
  <c r="H91" i="94"/>
  <c r="G33" i="55"/>
  <c r="O50" i="74"/>
  <c r="J92"/>
  <c r="N57" i="83"/>
  <c r="E25" i="65"/>
  <c r="H95" i="60"/>
  <c r="M32" i="44"/>
  <c r="N95" i="83"/>
  <c r="E45" i="25"/>
  <c r="I95" i="58"/>
  <c r="O100" i="32"/>
  <c r="G46" i="34"/>
  <c r="D17" i="71"/>
  <c r="L29" i="87"/>
  <c r="H31" i="19"/>
  <c r="L57" i="44"/>
  <c r="J71" i="59"/>
  <c r="J25" i="46"/>
  <c r="D31" i="53"/>
  <c r="N46" i="68"/>
  <c r="L100" i="77"/>
  <c r="J53" i="60"/>
  <c r="J12" i="84"/>
  <c r="D29" i="78"/>
  <c r="K53" i="65"/>
  <c r="E36" i="72"/>
  <c r="O31" i="46"/>
  <c r="I59" i="66"/>
  <c r="F97" i="90"/>
  <c r="E95" i="81"/>
  <c r="F46" i="89"/>
  <c r="H106" i="74"/>
  <c r="F50" i="52"/>
  <c r="N45" i="91"/>
  <c r="D42" i="74"/>
  <c r="J20" i="43"/>
  <c r="H18" i="63"/>
  <c r="H42" i="85"/>
  <c r="M89" i="56"/>
  <c r="H15" i="53"/>
  <c r="M11" i="73"/>
  <c r="E83" i="83"/>
  <c r="L22" i="33"/>
  <c r="D14" i="86"/>
  <c r="J54" i="25"/>
  <c r="E21" i="66"/>
  <c r="L8" i="89"/>
  <c r="M48" i="73"/>
  <c r="G92" i="30"/>
  <c r="L58" i="91"/>
  <c r="I95" i="48"/>
  <c r="H18" i="90"/>
  <c r="M34" i="65"/>
  <c r="G6" i="82"/>
  <c r="O68" i="83"/>
  <c r="H101" i="92"/>
  <c r="F18" i="59"/>
  <c r="O107" i="19"/>
  <c r="H83" i="39"/>
  <c r="O10" i="19"/>
  <c r="O6" i="75"/>
  <c r="L107" i="55"/>
  <c r="E67" i="46"/>
  <c r="F37" i="75"/>
  <c r="L8" i="76"/>
  <c r="J34" i="32"/>
  <c r="H73" i="67"/>
  <c r="G65" i="32"/>
  <c r="D89" i="45"/>
  <c r="D89" i="51"/>
  <c r="G48" i="33"/>
  <c r="I52" i="25"/>
  <c r="E39" i="81"/>
  <c r="L94" i="32"/>
  <c r="M32" i="87"/>
  <c r="L30" i="55"/>
  <c r="D56" i="93"/>
  <c r="M62" i="33"/>
  <c r="F18" i="57"/>
  <c r="O65" i="39"/>
  <c r="M56" i="46"/>
  <c r="M82" i="30"/>
  <c r="L54"/>
  <c r="H58" i="59"/>
  <c r="G28" i="58"/>
  <c r="J91" i="46"/>
  <c r="O26" i="54"/>
  <c r="J23" i="93"/>
  <c r="M62" i="61"/>
  <c r="F82"/>
  <c r="J19" i="94"/>
  <c r="M5" i="34"/>
  <c r="O23" i="92"/>
  <c r="D92" i="73"/>
  <c r="O50" i="35"/>
  <c r="O52" i="86"/>
  <c r="K91" i="84"/>
  <c r="O9" i="54"/>
  <c r="E82" i="50"/>
  <c r="L106" i="30"/>
  <c r="H79" i="83"/>
  <c r="D104" i="69"/>
  <c r="O27" i="57"/>
  <c r="M38" i="92"/>
  <c r="H30" i="79"/>
  <c r="D54" i="74"/>
  <c r="M9" i="40"/>
  <c r="J103" i="86"/>
  <c r="F83" i="39"/>
  <c r="H6" i="53"/>
  <c r="I45" i="68"/>
  <c r="O10" i="83"/>
  <c r="H80" i="55"/>
  <c r="E94" i="35"/>
  <c r="H34" i="51"/>
  <c r="O12" i="59"/>
  <c r="F36" i="64"/>
  <c r="N4" i="35"/>
  <c r="I16" i="72"/>
  <c r="J18" i="44"/>
  <c r="N58" i="30"/>
  <c r="F56" i="43"/>
  <c r="F24" i="47"/>
  <c r="H70" i="54"/>
  <c r="O5" i="78"/>
  <c r="E85" i="25"/>
  <c r="M67" i="59"/>
  <c r="O5" i="38"/>
  <c r="D28" i="36"/>
  <c r="G44" i="63"/>
  <c r="K25" i="82"/>
  <c r="O20" i="64"/>
  <c r="L92" i="86"/>
  <c r="D104" i="59"/>
  <c r="K47" i="93"/>
  <c r="L36" i="49"/>
  <c r="H17" i="64"/>
  <c r="H42" i="36"/>
  <c r="D38" i="78"/>
  <c r="D19" i="38"/>
  <c r="D92" i="54"/>
  <c r="G59" i="53"/>
  <c r="O25" i="70"/>
  <c r="M50" i="34"/>
  <c r="J30" i="66"/>
  <c r="H54" i="79"/>
  <c r="M51" i="44"/>
  <c r="G44" i="50"/>
  <c r="L58" i="92"/>
  <c r="J43" i="93"/>
  <c r="I28" i="44"/>
  <c r="D28" i="64"/>
  <c r="M104" i="53"/>
  <c r="G64" i="80"/>
  <c r="L61" i="46"/>
  <c r="J30" i="39"/>
  <c r="O35" i="90"/>
  <c r="J64" i="61"/>
  <c r="K21" i="83"/>
  <c r="F82" i="73"/>
  <c r="I15" i="29"/>
  <c r="M9" i="30"/>
  <c r="D34" i="58"/>
  <c r="O48" i="27"/>
  <c r="E68" i="65"/>
  <c r="O9" i="59"/>
  <c r="N27" i="32"/>
  <c r="E73" i="40"/>
  <c r="L24" i="78"/>
  <c r="M30" i="72"/>
  <c r="N55" i="57"/>
  <c r="H77" i="59"/>
  <c r="F94" i="48"/>
  <c r="F22" i="39"/>
  <c r="O103" i="87"/>
  <c r="G70" i="58"/>
  <c r="N41" i="64"/>
  <c r="N77" i="25"/>
  <c r="E11" i="47"/>
  <c r="E80" i="82"/>
  <c r="H22" i="50"/>
  <c r="H77" i="66"/>
  <c r="K52" i="51"/>
  <c r="G8" i="33"/>
  <c r="O104" i="62"/>
  <c r="G15" i="30"/>
  <c r="J67" i="19"/>
  <c r="H89" i="67"/>
  <c r="O7" i="74"/>
  <c r="F54" i="84"/>
  <c r="K14" i="83"/>
  <c r="M45" i="81"/>
  <c r="K57" i="82"/>
  <c r="F76" i="51"/>
  <c r="J64" i="92"/>
  <c r="G98" i="36"/>
  <c r="H22" i="55"/>
  <c r="D24" i="50"/>
  <c r="M98" i="89"/>
  <c r="M82" i="43"/>
  <c r="G71" i="90"/>
  <c r="E55" i="78"/>
  <c r="G31" i="57"/>
  <c r="G88" i="76"/>
  <c r="J55" i="25"/>
  <c r="I6"/>
  <c r="M23" i="38"/>
  <c r="E45" i="82"/>
  <c r="E35" i="46"/>
  <c r="J79" i="74"/>
  <c r="H21" i="48"/>
  <c r="M58" i="75"/>
  <c r="K18" i="72"/>
  <c r="M89" i="71"/>
  <c r="F101" i="19"/>
  <c r="J18" i="46"/>
  <c r="I58" i="55"/>
  <c r="F77" i="93"/>
  <c r="G19" i="86"/>
  <c r="O50" i="58"/>
  <c r="F12" i="94"/>
  <c r="M100"/>
  <c r="G37" i="55"/>
  <c r="I43" i="71"/>
  <c r="J44" i="63"/>
  <c r="M28" i="73"/>
  <c r="F64" i="84"/>
  <c r="L22" i="41"/>
  <c r="I10" i="80"/>
  <c r="N15" i="57"/>
  <c r="M38" i="94"/>
  <c r="J103" i="56"/>
  <c r="O61" i="48"/>
  <c r="O32" i="69"/>
  <c r="J82" i="67"/>
  <c r="F38" i="49"/>
  <c r="F33" i="26"/>
  <c r="F77" i="65"/>
  <c r="I100" i="32"/>
  <c r="G17" i="27"/>
  <c r="I15" i="70"/>
  <c r="H64" i="25"/>
  <c r="J4" i="89"/>
  <c r="H32" i="58"/>
  <c r="K82" i="32"/>
  <c r="E80" i="94"/>
  <c r="O37" i="39"/>
  <c r="H92" i="58"/>
  <c r="G92" i="87"/>
  <c r="J20" i="67"/>
  <c r="G61" i="34"/>
  <c r="L28" i="90"/>
  <c r="N64" i="92"/>
  <c r="D71" i="65"/>
  <c r="D83" i="25"/>
  <c r="D22" i="43"/>
  <c r="D55" i="38"/>
  <c r="F74" i="41"/>
  <c r="L98" i="53"/>
  <c r="L59" i="48"/>
  <c r="O101" i="63"/>
  <c r="O8" i="57"/>
  <c r="K46" i="70"/>
  <c r="L56" i="33"/>
  <c r="J46" i="89"/>
  <c r="L13" i="56"/>
  <c r="G22" i="82"/>
  <c r="F100" i="49"/>
  <c r="J68" i="19"/>
  <c r="K65" i="64"/>
  <c r="N70" i="39"/>
  <c r="N26" i="63"/>
  <c r="J79" i="91"/>
  <c r="I104" i="53"/>
  <c r="O22" i="70"/>
  <c r="J62" i="39"/>
  <c r="I15" i="76"/>
  <c r="H32" i="73"/>
  <c r="I88" i="83"/>
  <c r="I33" i="70"/>
  <c r="O67" i="75"/>
  <c r="D22" i="90"/>
  <c r="J21" i="29"/>
  <c r="O45" i="78"/>
  <c r="I29"/>
  <c r="F19" i="85"/>
  <c r="F64" i="80"/>
  <c r="N52" i="69"/>
  <c r="E36" i="67"/>
  <c r="G83" i="49"/>
  <c r="E85" i="56"/>
  <c r="M12" i="40"/>
  <c r="M59" i="54"/>
  <c r="N98" i="80"/>
  <c r="F56" i="41"/>
  <c r="L98" i="47"/>
  <c r="H44" i="49"/>
  <c r="E62" i="72"/>
  <c r="H9" i="46"/>
  <c r="D95" i="63"/>
  <c r="F14" i="39"/>
  <c r="L103" i="19"/>
  <c r="K50" i="64"/>
  <c r="L10" i="65"/>
  <c r="N16" i="33"/>
  <c r="K104" i="67"/>
  <c r="H17" i="79"/>
  <c r="I28" i="89"/>
  <c r="I94" i="82"/>
  <c r="D46" i="71"/>
  <c r="I79" i="91"/>
  <c r="L76" i="93"/>
  <c r="M5" i="71"/>
  <c r="J56" i="81"/>
  <c r="O45" i="77"/>
  <c r="D85" i="54"/>
  <c r="N11" i="71"/>
  <c r="G47" i="45"/>
  <c r="E53" i="25"/>
  <c r="F104" i="55"/>
  <c r="G19" i="69"/>
  <c r="N35" i="74"/>
  <c r="J86" i="76"/>
  <c r="N17" i="90"/>
  <c r="O61"/>
  <c r="L88" i="74"/>
  <c r="H95" i="77"/>
  <c r="I15" i="26"/>
  <c r="I25" i="58"/>
  <c r="H33" i="90"/>
  <c r="J57" i="83"/>
  <c r="M103" i="70"/>
  <c r="K73" i="58"/>
  <c r="G95" i="75"/>
  <c r="M92" i="74"/>
  <c r="L10" i="78"/>
  <c r="I57" i="66"/>
  <c r="O86" i="40"/>
  <c r="E39" i="30"/>
  <c r="G7" i="52"/>
  <c r="L100" i="54"/>
  <c r="F40" i="83"/>
  <c r="F82" i="59"/>
  <c r="G26" i="84"/>
  <c r="F73" i="90"/>
  <c r="I36" i="56"/>
  <c r="O9" i="92"/>
  <c r="D15" i="60"/>
  <c r="L106" i="82"/>
  <c r="D25" i="61"/>
  <c r="E76" i="86"/>
  <c r="O88" i="83"/>
  <c r="D11" i="56"/>
  <c r="O95" i="47"/>
  <c r="J76" i="50"/>
  <c r="H68" i="70"/>
  <c r="M45" i="33"/>
  <c r="E95" i="75"/>
  <c r="E30" i="73"/>
  <c r="H42" i="44"/>
  <c r="I18" i="59"/>
  <c r="N52" i="68"/>
  <c r="F16" i="44"/>
  <c r="O54" i="81"/>
  <c r="N19" i="92"/>
  <c r="I88" i="47"/>
  <c r="D25" i="91"/>
  <c r="E103" i="93"/>
  <c r="N68" i="32"/>
  <c r="E77" i="87"/>
  <c r="I36" i="26"/>
  <c r="F43" i="86"/>
  <c r="F52" i="25"/>
  <c r="I73" i="32"/>
  <c r="E33" i="50"/>
  <c r="M103" i="32"/>
  <c r="F85" i="58"/>
  <c r="M30" i="26"/>
  <c r="H12" i="34"/>
  <c r="J50" i="40"/>
  <c r="D33"/>
  <c r="N28" i="73"/>
  <c r="G89" i="68"/>
  <c r="M31" i="39"/>
  <c r="O68" i="56"/>
  <c r="J31" i="94"/>
  <c r="D9" i="86"/>
  <c r="F100" i="25"/>
  <c r="H13" i="55"/>
  <c r="J15" i="73"/>
  <c r="F29" i="40"/>
  <c r="J88" i="64"/>
  <c r="N23" i="54"/>
  <c r="I49" i="67"/>
  <c r="L25" i="70"/>
  <c r="H92" i="36"/>
  <c r="M106" i="72"/>
  <c r="O106" i="25"/>
  <c r="E46" i="44"/>
  <c r="H14" i="80"/>
  <c r="M56" i="34"/>
  <c r="O29" i="63"/>
  <c r="D50" i="94"/>
  <c r="M19" i="38"/>
  <c r="D61" i="83"/>
  <c r="K70" i="86"/>
  <c r="O42" i="92"/>
  <c r="O50" i="86"/>
  <c r="N29" i="94"/>
  <c r="I97" i="55"/>
  <c r="H20" i="34"/>
  <c r="O15" i="46"/>
  <c r="G19" i="67"/>
  <c r="D86" i="43"/>
  <c r="E71" i="75"/>
  <c r="L19" i="61"/>
  <c r="O27" i="58"/>
  <c r="G24" i="74"/>
  <c r="L12" i="33"/>
  <c r="D40" i="44"/>
  <c r="O10" i="36"/>
  <c r="N35" i="39"/>
  <c r="O41" i="70"/>
  <c r="E92" i="35"/>
  <c r="N52" i="39"/>
  <c r="K53" i="91"/>
  <c r="G10" i="39"/>
  <c r="F45" i="54"/>
  <c r="J92" i="65"/>
  <c r="H64" i="47"/>
  <c r="J61" i="92"/>
  <c r="M22" i="54"/>
  <c r="L76" i="36"/>
  <c r="K28" i="63"/>
  <c r="E16" i="90"/>
  <c r="J92" i="51"/>
  <c r="L101" i="91"/>
  <c r="L51" i="41"/>
  <c r="F95" i="74"/>
  <c r="J45" i="53"/>
  <c r="I18" i="81"/>
  <c r="K56" i="49"/>
  <c r="F55" i="46"/>
  <c r="J23" i="80"/>
  <c r="E74" i="60"/>
  <c r="K97" i="51"/>
  <c r="L24" i="49"/>
  <c r="K35" i="83"/>
  <c r="F65" i="86"/>
  <c r="E88" i="49"/>
  <c r="N54" i="25"/>
  <c r="J59" i="81"/>
  <c r="F53" i="69"/>
  <c r="L56" i="41"/>
  <c r="M9" i="78"/>
  <c r="K49" i="84"/>
  <c r="N86" i="93"/>
  <c r="N33" i="26"/>
  <c r="F67" i="54"/>
  <c r="D58" i="78"/>
  <c r="M71" i="83"/>
  <c r="H61" i="25"/>
  <c r="E51" i="26"/>
  <c r="M67" i="69"/>
  <c r="I104" i="55"/>
  <c r="G39"/>
  <c r="J61" i="74"/>
  <c r="D27" i="61"/>
  <c r="I77" i="26"/>
  <c r="I100" i="91"/>
  <c r="E65" i="82"/>
  <c r="E94" i="73"/>
  <c r="F5" i="50"/>
  <c r="K30" i="57"/>
  <c r="K103" i="78"/>
  <c r="J55" i="29"/>
  <c r="K88" i="82"/>
  <c r="H40" i="83"/>
  <c r="F91"/>
  <c r="K55" i="82"/>
  <c r="L53" i="36"/>
  <c r="J107" i="78"/>
  <c r="N22" i="57"/>
  <c r="D42" i="33"/>
  <c r="O56" i="59"/>
  <c r="L28" i="26"/>
  <c r="G22" i="65"/>
  <c r="H11" i="93"/>
  <c r="H106" i="84"/>
  <c r="J88" i="77"/>
  <c r="J53" i="43"/>
  <c r="G12" i="68"/>
  <c r="L82" i="64"/>
  <c r="O12" i="56"/>
  <c r="O26" i="29"/>
  <c r="G85" i="42"/>
  <c r="K79" i="64"/>
  <c r="D82" i="44"/>
  <c r="J23" i="34"/>
  <c r="L35" i="46"/>
  <c r="G50" i="56"/>
  <c r="F8" i="52"/>
  <c r="D36" i="30"/>
  <c r="M31" i="73"/>
  <c r="O10" i="71"/>
  <c r="G16" i="39"/>
  <c r="D20" i="71"/>
  <c r="F50" i="55"/>
  <c r="G10" i="41"/>
  <c r="L106" i="56"/>
  <c r="L45" i="58"/>
  <c r="N10" i="82"/>
  <c r="M91" i="83"/>
  <c r="D53" i="25"/>
  <c r="E86" i="36"/>
  <c r="O55" i="43"/>
  <c r="I13" i="25"/>
  <c r="I103" i="34"/>
  <c r="H95" i="39"/>
  <c r="G46" i="55"/>
  <c r="J77" i="49"/>
  <c r="J83" i="46"/>
  <c r="L26" i="72"/>
  <c r="L57" i="90"/>
  <c r="H38" i="82"/>
  <c r="D83" i="86"/>
  <c r="E13" i="38"/>
  <c r="L45" i="19"/>
  <c r="E85" i="35"/>
  <c r="K48" i="77"/>
  <c r="K61" i="38"/>
  <c r="F36" i="56"/>
  <c r="D5" i="85"/>
  <c r="H88" i="79"/>
  <c r="E23"/>
  <c r="K34" i="73"/>
  <c r="I31" i="38"/>
  <c r="I52" i="74"/>
  <c r="L86" i="43"/>
  <c r="F39" i="58"/>
  <c r="G73" i="82"/>
  <c r="L100" i="53"/>
  <c r="O34" i="26"/>
  <c r="E76" i="84"/>
  <c r="N64" i="66"/>
  <c r="L28" i="55"/>
  <c r="M57" i="43"/>
  <c r="D57" i="52"/>
  <c r="F41" i="64"/>
  <c r="M43" i="40"/>
  <c r="E70" i="25"/>
  <c r="N107" i="78"/>
  <c r="F46" i="45"/>
  <c r="E56" i="67"/>
  <c r="F64" i="78"/>
  <c r="F89" i="76"/>
  <c r="F107" i="52"/>
  <c r="F68" i="41"/>
  <c r="I34" i="55"/>
  <c r="H107" i="76"/>
  <c r="I7" i="84"/>
  <c r="M52" i="58"/>
  <c r="G70" i="26"/>
  <c r="F100" i="70"/>
  <c r="E5" i="25"/>
  <c r="E51" i="84"/>
  <c r="K12" i="89"/>
  <c r="K45" i="59"/>
  <c r="N12" i="66"/>
  <c r="G4" i="53"/>
  <c r="F57" i="66"/>
  <c r="L95" i="90"/>
  <c r="N22" i="71"/>
  <c r="O71" i="36"/>
  <c r="I50" i="56"/>
  <c r="L79" i="29"/>
  <c r="J17" i="63"/>
  <c r="G40" i="55"/>
  <c r="J94" i="19"/>
  <c r="J51" i="78"/>
  <c r="F46"/>
  <c r="L17" i="65"/>
  <c r="K92" i="54"/>
  <c r="M71" i="51"/>
  <c r="E41"/>
  <c r="D12" i="57"/>
  <c r="E100" i="56"/>
  <c r="D18" i="34"/>
  <c r="G41" i="85"/>
  <c r="J49" i="83"/>
  <c r="K13" i="93"/>
  <c r="L42" i="19"/>
  <c r="I8" i="57"/>
  <c r="O70" i="47"/>
  <c r="E45" i="53"/>
  <c r="M8" i="43"/>
  <c r="K106" i="34"/>
  <c r="F107" i="94"/>
  <c r="G15" i="35"/>
  <c r="F51" i="71"/>
  <c r="I91" i="86"/>
  <c r="O65" i="38"/>
  <c r="I47" i="79"/>
  <c r="F52" i="44"/>
  <c r="M12" i="84"/>
  <c r="L77" i="29"/>
  <c r="E18" i="62"/>
  <c r="J44" i="40"/>
  <c r="G62" i="32"/>
  <c r="H48" i="77"/>
  <c r="J68" i="84"/>
  <c r="D61" i="82"/>
  <c r="E67" i="94"/>
  <c r="L80" i="32"/>
  <c r="E45" i="77"/>
  <c r="K36" i="61"/>
  <c r="D22" i="53"/>
  <c r="E23" i="57"/>
  <c r="G86" i="47"/>
  <c r="L49" i="58"/>
  <c r="K50" i="80"/>
  <c r="N44" i="93"/>
  <c r="E9" i="53"/>
  <c r="J62" i="81"/>
  <c r="L53" i="91"/>
  <c r="I24" i="83"/>
  <c r="H67" i="36"/>
  <c r="I44" i="79"/>
  <c r="F21" i="62"/>
  <c r="L23" i="56"/>
  <c r="M62" i="25"/>
  <c r="K20" i="57"/>
  <c r="D79" i="49"/>
  <c r="I19" i="34"/>
  <c r="K67" i="41"/>
  <c r="I95" i="34"/>
  <c r="H10" i="63"/>
  <c r="E107" i="92"/>
  <c r="M92" i="73"/>
  <c r="K86" i="78"/>
  <c r="M104" i="71"/>
  <c r="I107" i="26"/>
  <c r="G34" i="91"/>
  <c r="I16" i="92"/>
  <c r="O97" i="44"/>
  <c r="I11" i="58"/>
  <c r="F36" i="54"/>
  <c r="J57" i="67"/>
  <c r="I65" i="45"/>
  <c r="E73" i="55"/>
  <c r="N85" i="75"/>
  <c r="E44" i="45"/>
  <c r="F11" i="82"/>
  <c r="H27" i="36"/>
  <c r="G25" i="34"/>
  <c r="N83" i="49"/>
  <c r="K51" i="81"/>
  <c r="H70" i="33"/>
  <c r="M57" i="36"/>
  <c r="I85" i="60"/>
  <c r="G40" i="66"/>
  <c r="J37" i="93"/>
  <c r="I56" i="74"/>
  <c r="F59" i="83"/>
  <c r="K45" i="92"/>
  <c r="E74" i="90"/>
  <c r="H30" i="91"/>
  <c r="L48" i="70"/>
  <c r="L32" i="81"/>
  <c r="O103" i="75"/>
  <c r="E106" i="81"/>
  <c r="K6" i="58"/>
  <c r="J5" i="89"/>
  <c r="D64" i="50"/>
  <c r="I44" i="77"/>
  <c r="F82" i="74"/>
  <c r="E43" i="58"/>
  <c r="J16" i="83"/>
  <c r="I26" i="32"/>
  <c r="N54" i="74"/>
  <c r="M80" i="70"/>
  <c r="G11" i="89"/>
  <c r="O89" i="67"/>
  <c r="F47" i="55"/>
  <c r="E30" i="57"/>
  <c r="N48" i="55"/>
  <c r="G86" i="67"/>
  <c r="E39" i="59"/>
  <c r="O13" i="70"/>
  <c r="N31" i="35"/>
  <c r="J106" i="62"/>
  <c r="F61" i="90"/>
  <c r="J29" i="35"/>
  <c r="J42" i="48"/>
  <c r="M13" i="73"/>
  <c r="F34" i="65"/>
  <c r="D68" i="29"/>
  <c r="E62" i="75"/>
  <c r="I61" i="78"/>
  <c r="F106" i="19"/>
  <c r="H103" i="35"/>
  <c r="L8" i="45"/>
  <c r="J30" i="60"/>
  <c r="N53" i="35"/>
  <c r="F36" i="76"/>
  <c r="F59" i="65"/>
  <c r="I43" i="87"/>
  <c r="D77" i="79"/>
  <c r="E19" i="70"/>
  <c r="E58" i="41"/>
  <c r="D4" i="60"/>
  <c r="O94" i="59"/>
  <c r="G37" i="89"/>
  <c r="L101" i="51"/>
  <c r="J68" i="71"/>
  <c r="G64" i="66"/>
  <c r="J104" i="82"/>
  <c r="M76" i="25"/>
  <c r="M70" i="91"/>
  <c r="F106" i="25"/>
  <c r="O10" i="91"/>
  <c r="I76" i="71"/>
  <c r="M65" i="43"/>
  <c r="I19" i="84"/>
  <c r="M70" i="86"/>
  <c r="I38" i="36"/>
  <c r="J55" i="80"/>
  <c r="I101" i="77"/>
  <c r="L74" i="41"/>
  <c r="N26" i="65"/>
  <c r="L38" i="89"/>
  <c r="E53" i="35"/>
  <c r="H43" i="32"/>
  <c r="N88" i="70"/>
  <c r="H43" i="58"/>
  <c r="G100" i="65"/>
  <c r="G74" i="91"/>
  <c r="F20" i="87"/>
  <c r="G62" i="41"/>
  <c r="K6" i="87"/>
  <c r="I45" i="79"/>
  <c r="L89" i="48"/>
  <c r="O18" i="45"/>
  <c r="D41" i="47"/>
  <c r="M59" i="45"/>
  <c r="L68" i="89"/>
  <c r="I39" i="59"/>
  <c r="G68" i="33"/>
  <c r="L21" i="90"/>
  <c r="I20" i="73"/>
  <c r="E39" i="60"/>
  <c r="G77" i="82"/>
  <c r="O11" i="87"/>
  <c r="G48" i="72"/>
  <c r="L73" i="58"/>
  <c r="L37" i="35"/>
  <c r="E67" i="51"/>
  <c r="K27" i="81"/>
  <c r="N61" i="27"/>
  <c r="K89" i="67"/>
  <c r="O23"/>
  <c r="D98" i="34"/>
  <c r="I50" i="65"/>
  <c r="L62" i="41"/>
  <c r="N35" i="77"/>
  <c r="L39" i="58"/>
  <c r="E7" i="27"/>
  <c r="E20" i="30"/>
  <c r="G97" i="27"/>
  <c r="O58" i="57"/>
  <c r="I53" i="79"/>
  <c r="D43" i="29"/>
  <c r="D5" i="34"/>
  <c r="M57" i="54"/>
  <c r="O57" i="94"/>
  <c r="L17" i="77"/>
  <c r="E94" i="32"/>
  <c r="G34" i="73"/>
  <c r="E85" i="83"/>
  <c r="L8" i="35"/>
  <c r="I59" i="67"/>
  <c r="J86" i="68"/>
  <c r="D29" i="77"/>
  <c r="E31" i="38"/>
  <c r="N10" i="43"/>
  <c r="G104" i="89"/>
  <c r="F101" i="71"/>
  <c r="F44" i="94"/>
  <c r="N80" i="57"/>
  <c r="E68" i="48"/>
  <c r="L43" i="35"/>
  <c r="L94" i="45"/>
  <c r="M67" i="77"/>
  <c r="J32" i="56"/>
  <c r="O67" i="35"/>
  <c r="L10" i="38"/>
  <c r="L15" i="81"/>
  <c r="D22" i="60"/>
  <c r="H4" i="75"/>
  <c r="F101" i="81"/>
  <c r="J59" i="84"/>
  <c r="H32" i="41"/>
  <c r="I39" i="55"/>
  <c r="H48" i="49"/>
  <c r="G97" i="62"/>
  <c r="N86" i="80"/>
  <c r="E100" i="63"/>
  <c r="J51" i="19"/>
  <c r="F57" i="76"/>
  <c r="H44" i="38"/>
  <c r="M22" i="40"/>
  <c r="I19" i="36"/>
  <c r="L97" i="33"/>
  <c r="G64" i="71"/>
  <c r="M45" i="38"/>
  <c r="J39" i="56"/>
  <c r="G91" i="44"/>
  <c r="O46" i="56"/>
  <c r="L44" i="45"/>
  <c r="M24" i="66"/>
  <c r="J101" i="36"/>
  <c r="J95" i="79"/>
  <c r="H49"/>
  <c r="J14" i="86"/>
  <c r="O73" i="65"/>
  <c r="M94" i="33"/>
  <c r="G53" i="91"/>
  <c r="K37" i="89"/>
  <c r="J35" i="38"/>
  <c r="N21" i="32"/>
  <c r="H68" i="50"/>
  <c r="L74" i="91"/>
  <c r="K14" i="68"/>
  <c r="K51" i="66"/>
  <c r="I25" i="73"/>
  <c r="L64" i="38"/>
  <c r="I73" i="27"/>
  <c r="N91" i="89"/>
  <c r="D41" i="69"/>
  <c r="M83" i="84"/>
  <c r="O29" i="73"/>
  <c r="L29" i="86"/>
  <c r="D77" i="63"/>
  <c r="D8" i="84"/>
  <c r="K95" i="27"/>
  <c r="N77" i="30"/>
  <c r="G70" i="91"/>
  <c r="F34"/>
  <c r="F92" i="43"/>
  <c r="F39" i="71"/>
  <c r="F42" i="70"/>
  <c r="J19" i="68"/>
  <c r="I88" i="70"/>
  <c r="O71" i="34"/>
  <c r="G8" i="25"/>
  <c r="F88" i="55"/>
  <c r="G56" i="29"/>
  <c r="H80" i="94"/>
  <c r="J45" i="68"/>
  <c r="H100" i="39"/>
  <c r="I48" i="50"/>
  <c r="I62" i="43"/>
  <c r="M67" i="61"/>
  <c r="O11" i="53"/>
  <c r="F104" i="74"/>
  <c r="L6" i="68"/>
  <c r="M89" i="91"/>
  <c r="G85" i="25"/>
  <c r="J106" i="82"/>
  <c r="M39" i="19"/>
  <c r="L24" i="64"/>
  <c r="E7" i="29"/>
  <c r="J68" i="27"/>
  <c r="O39" i="78"/>
  <c r="I4" i="44"/>
  <c r="J97" i="33"/>
  <c r="J74" i="51"/>
  <c r="H49" i="84"/>
  <c r="G5" i="30"/>
  <c r="K50" i="63"/>
  <c r="L8" i="55"/>
  <c r="M25" i="27"/>
  <c r="D54" i="85"/>
  <c r="M29" i="83"/>
  <c r="F7" i="35"/>
  <c r="J98" i="74"/>
  <c r="M76" i="46"/>
  <c r="G24" i="72"/>
  <c r="K91" i="73"/>
  <c r="H26" i="50"/>
  <c r="O104" i="43"/>
  <c r="F37" i="35"/>
  <c r="H35" i="19"/>
  <c r="N56" i="56"/>
  <c r="H98" i="89"/>
  <c r="F101" i="62"/>
  <c r="G37" i="85"/>
  <c r="O18" i="83"/>
  <c r="G40" i="79"/>
  <c r="M55" i="90"/>
  <c r="J106" i="25"/>
  <c r="G37" i="69"/>
  <c r="I25" i="46"/>
  <c r="G89" i="94"/>
  <c r="E10" i="57"/>
  <c r="D47" i="32"/>
  <c r="G97" i="19"/>
  <c r="N70" i="67"/>
  <c r="H33" i="38"/>
  <c r="K34" i="65"/>
  <c r="K42" i="40"/>
  <c r="E101" i="69"/>
  <c r="F89" i="61"/>
  <c r="J23" i="35"/>
  <c r="L86" i="63"/>
  <c r="M107" i="32"/>
  <c r="L30" i="80"/>
  <c r="L65" i="70"/>
  <c r="D91" i="90"/>
  <c r="J39" i="48"/>
  <c r="N6" i="77"/>
  <c r="N12" i="69"/>
  <c r="F73" i="70"/>
  <c r="L74" i="68"/>
  <c r="O28" i="82"/>
  <c r="F38" i="35"/>
  <c r="M31" i="64"/>
  <c r="F95" i="19"/>
  <c r="M12" i="75"/>
  <c r="E20" i="72"/>
  <c r="G17" i="83"/>
  <c r="F22" i="75"/>
  <c r="E82" i="72"/>
  <c r="F15" i="62"/>
  <c r="L64" i="73"/>
  <c r="F91" i="93"/>
  <c r="I88" i="48"/>
  <c r="O80" i="83"/>
  <c r="G27" i="41"/>
  <c r="I26" i="82"/>
  <c r="F13" i="65"/>
  <c r="E15" i="35"/>
  <c r="K18" i="41"/>
  <c r="E50" i="35"/>
  <c r="N46" i="76"/>
  <c r="I89" i="73"/>
  <c r="F22" i="79"/>
  <c r="G44" i="48"/>
  <c r="M44" i="70"/>
  <c r="D82" i="77"/>
  <c r="E49" i="72"/>
  <c r="F6" i="47"/>
  <c r="E30" i="87"/>
  <c r="M34" i="34"/>
  <c r="J5" i="56"/>
  <c r="G58" i="34"/>
  <c r="E79" i="32"/>
  <c r="J68" i="50"/>
  <c r="G38" i="86"/>
  <c r="H24" i="30"/>
  <c r="L53" i="81"/>
  <c r="D51" i="63"/>
  <c r="D56" i="54"/>
  <c r="G91" i="72"/>
  <c r="O95" i="77"/>
  <c r="E35" i="19"/>
  <c r="M58" i="74"/>
  <c r="D97" i="82"/>
  <c r="N57" i="63"/>
  <c r="L40" i="34"/>
  <c r="K15" i="39"/>
  <c r="K23" i="78"/>
  <c r="M61" i="94"/>
  <c r="G21" i="45"/>
  <c r="O11" i="47"/>
  <c r="J29" i="41"/>
  <c r="I17" i="74"/>
  <c r="I16" i="63"/>
  <c r="D40" i="70"/>
  <c r="F40" i="25"/>
  <c r="H53" i="89"/>
  <c r="K11" i="47"/>
  <c r="E57" i="84"/>
  <c r="D30" i="62"/>
  <c r="F73" i="66"/>
  <c r="G77" i="26"/>
  <c r="K26" i="71"/>
  <c r="O18" i="89"/>
  <c r="I53" i="44"/>
  <c r="N48" i="89"/>
  <c r="N41" i="84"/>
  <c r="G83" i="65"/>
  <c r="D24" i="47"/>
  <c r="N27" i="67"/>
  <c r="J85" i="27"/>
  <c r="N91" i="56"/>
  <c r="H12" i="44"/>
  <c r="D67" i="66"/>
  <c r="M26" i="78"/>
  <c r="H50" i="73"/>
  <c r="E73" i="32"/>
  <c r="L27" i="84"/>
  <c r="K37" i="33"/>
  <c r="N18" i="44"/>
  <c r="N88" i="75"/>
  <c r="G101" i="85"/>
  <c r="G48" i="65"/>
  <c r="H58" i="48"/>
  <c r="I6" i="53"/>
  <c r="G39" i="61"/>
  <c r="F56" i="75"/>
  <c r="H64" i="30"/>
  <c r="L37" i="36"/>
  <c r="F74" i="50"/>
  <c r="F49" i="78"/>
  <c r="F22" i="56"/>
  <c r="I21" i="32"/>
  <c r="L53" i="69"/>
  <c r="M38" i="46"/>
  <c r="H45"/>
  <c r="H62" i="26"/>
  <c r="E79" i="58"/>
  <c r="F14" i="80"/>
  <c r="M28" i="59"/>
  <c r="M4" i="68"/>
  <c r="G19" i="61"/>
  <c r="J38" i="54"/>
  <c r="I12" i="58"/>
  <c r="L54" i="80"/>
  <c r="L7" i="32"/>
  <c r="N57" i="60"/>
  <c r="F41" i="43"/>
  <c r="N91" i="64"/>
  <c r="G89" i="30"/>
  <c r="H70" i="55"/>
  <c r="N104" i="69"/>
  <c r="L21" i="55"/>
  <c r="H12" i="50"/>
  <c r="F10" i="71"/>
  <c r="I17" i="45"/>
  <c r="O57" i="61"/>
  <c r="E14" i="52"/>
  <c r="L76" i="40"/>
  <c r="O28" i="29"/>
  <c r="J22" i="40"/>
  <c r="E45" i="89"/>
  <c r="I21" i="55"/>
  <c r="M65" i="47"/>
  <c r="D37" i="55"/>
  <c r="J86" i="78"/>
  <c r="K15" i="53"/>
  <c r="O35" i="87"/>
  <c r="G29" i="79"/>
  <c r="I68"/>
  <c r="O20" i="55"/>
  <c r="K33" i="38"/>
  <c r="E19" i="81"/>
  <c r="I91" i="59"/>
  <c r="L18" i="63"/>
  <c r="J86" i="72"/>
  <c r="E53" i="48"/>
  <c r="L52" i="71"/>
  <c r="E10" i="92"/>
  <c r="M59" i="59"/>
  <c r="K13" i="71"/>
  <c r="D94" i="40"/>
  <c r="F34" i="55"/>
  <c r="H35" i="52"/>
  <c r="K97" i="93"/>
  <c r="G79" i="47"/>
  <c r="N55" i="64"/>
  <c r="F17" i="76"/>
  <c r="M51" i="62"/>
  <c r="K35" i="68"/>
  <c r="N37" i="46"/>
  <c r="J48" i="87"/>
  <c r="K19" i="35"/>
  <c r="O20" i="41"/>
  <c r="L37" i="29"/>
  <c r="F51" i="40"/>
  <c r="M28" i="81"/>
  <c r="M21" i="53"/>
  <c r="L24" i="25"/>
  <c r="H39" i="80"/>
  <c r="H15" i="19"/>
  <c r="M53" i="91"/>
  <c r="I18" i="25"/>
  <c r="L45" i="78"/>
  <c r="J98" i="80"/>
  <c r="N94" i="25"/>
  <c r="K54" i="75"/>
  <c r="N26" i="62"/>
  <c r="N26" i="92"/>
  <c r="G48" i="30"/>
  <c r="E89" i="85"/>
  <c r="F20"/>
  <c r="I33" i="81"/>
  <c r="M13" i="56"/>
  <c r="O67" i="48"/>
  <c r="L20" i="70"/>
  <c r="E76" i="79"/>
  <c r="J107" i="70"/>
  <c r="J73" i="55"/>
  <c r="N76" i="56"/>
  <c r="I97" i="27"/>
  <c r="H95" i="58"/>
  <c r="M36" i="83"/>
  <c r="O16" i="25"/>
  <c r="N46" i="32"/>
  <c r="J31" i="82"/>
  <c r="H70" i="34"/>
  <c r="K5" i="41"/>
  <c r="G61" i="68"/>
  <c r="F62" i="67"/>
  <c r="M20" i="32"/>
  <c r="L22" i="66"/>
  <c r="N39" i="76"/>
  <c r="G27" i="65"/>
  <c r="N65" i="19"/>
  <c r="E67" i="60"/>
  <c r="N68" i="87"/>
  <c r="N13" i="71"/>
  <c r="G61" i="40"/>
  <c r="H18" i="42"/>
  <c r="L17" i="57"/>
  <c r="L67" i="45"/>
  <c r="O86" i="58"/>
  <c r="M15" i="67"/>
  <c r="L43" i="34"/>
  <c r="L9" i="55"/>
  <c r="G21" i="26"/>
  <c r="E17" i="86"/>
  <c r="J67" i="49"/>
  <c r="G77" i="84"/>
  <c r="E53" i="92"/>
  <c r="G16" i="77"/>
  <c r="L48" i="66"/>
  <c r="L59" i="70"/>
  <c r="D4" i="36"/>
  <c r="H88" i="81"/>
  <c r="H42" i="19"/>
  <c r="I85" i="45"/>
  <c r="F61"/>
  <c r="O48" i="80"/>
  <c r="D13" i="89"/>
  <c r="K50" i="43"/>
  <c r="J61" i="71"/>
  <c r="O39" i="82"/>
  <c r="H104" i="39"/>
  <c r="M16" i="82"/>
  <c r="K22" i="89"/>
  <c r="M17" i="67"/>
  <c r="F21" i="86"/>
  <c r="D20" i="49"/>
  <c r="J64" i="79"/>
  <c r="N8" i="34"/>
  <c r="N76" i="36"/>
  <c r="N67" i="64"/>
  <c r="N67" i="83"/>
  <c r="E52" i="75"/>
  <c r="N74" i="43"/>
  <c r="O44" i="68"/>
  <c r="I106" i="64"/>
  <c r="H97" i="77"/>
  <c r="N37" i="29"/>
  <c r="F74" i="67"/>
  <c r="M103" i="87"/>
  <c r="J17" i="44"/>
  <c r="N31" i="57"/>
  <c r="G14" i="91"/>
  <c r="O41" i="94"/>
  <c r="O94" i="43"/>
  <c r="G73" i="69"/>
  <c r="D80" i="94"/>
  <c r="G48" i="29"/>
  <c r="E88" i="62"/>
  <c r="O33" i="87"/>
  <c r="F45"/>
  <c r="F70" i="78"/>
  <c r="M31" i="55"/>
  <c r="M46" i="83"/>
  <c r="F86" i="29"/>
  <c r="D12" i="42"/>
  <c r="E65" i="44"/>
  <c r="G10" i="35"/>
  <c r="N12" i="32"/>
  <c r="D53" i="85"/>
  <c r="J43" i="67"/>
  <c r="N71" i="26"/>
  <c r="O30" i="56"/>
  <c r="M106" i="90"/>
  <c r="J95" i="75"/>
  <c r="K92" i="57"/>
  <c r="I71" i="44"/>
  <c r="O51" i="89"/>
  <c r="K94" i="44"/>
  <c r="J43" i="38"/>
  <c r="D44" i="72"/>
  <c r="D35" i="54"/>
  <c r="F89" i="32"/>
  <c r="M64" i="47"/>
  <c r="L49" i="41"/>
  <c r="F7" i="56"/>
  <c r="G54" i="72"/>
  <c r="E7" i="57"/>
  <c r="G97" i="40"/>
  <c r="F29" i="74"/>
  <c r="J47" i="41"/>
  <c r="L14" i="83"/>
  <c r="F38" i="87"/>
  <c r="G98" i="46"/>
  <c r="F33" i="39"/>
  <c r="M92" i="78"/>
  <c r="J83" i="67"/>
  <c r="L4" i="41"/>
  <c r="D55" i="89"/>
  <c r="K91" i="55"/>
  <c r="K48" i="38"/>
  <c r="M41" i="67"/>
  <c r="I35" i="38"/>
  <c r="F41" i="87"/>
  <c r="O46" i="69"/>
  <c r="I33" i="93"/>
  <c r="F14" i="47"/>
  <c r="J59" i="93"/>
  <c r="M44" i="60"/>
  <c r="O48" i="61"/>
  <c r="H95" i="34"/>
  <c r="N11" i="90"/>
  <c r="N52" i="78"/>
  <c r="D24" i="39"/>
  <c r="M97" i="71"/>
  <c r="N38" i="26"/>
  <c r="N10" i="86"/>
  <c r="M20" i="83"/>
  <c r="I35" i="34"/>
  <c r="G73" i="39"/>
  <c r="L11" i="58"/>
  <c r="H86" i="74"/>
  <c r="O100" i="30"/>
  <c r="J62" i="94"/>
  <c r="M26" i="65"/>
  <c r="L9" i="74"/>
  <c r="L88" i="70"/>
  <c r="F6" i="90"/>
  <c r="M106" i="69"/>
  <c r="G37" i="64"/>
  <c r="F37" i="79"/>
  <c r="O35" i="32"/>
  <c r="E107" i="51"/>
  <c r="E68" i="40"/>
  <c r="N68" i="48"/>
  <c r="K106" i="35"/>
  <c r="L34" i="70"/>
  <c r="E80" i="60"/>
  <c r="G68" i="27"/>
  <c r="M15" i="48"/>
  <c r="G21" i="83"/>
  <c r="G35" i="92"/>
  <c r="G34" i="50"/>
  <c r="G30" i="61"/>
  <c r="N70" i="84"/>
  <c r="I20" i="64"/>
  <c r="D92" i="71"/>
  <c r="I83" i="40"/>
  <c r="F50" i="85"/>
  <c r="J98" i="73"/>
  <c r="J12" i="55"/>
  <c r="K31" i="54"/>
  <c r="F18" i="67"/>
  <c r="D27" i="36"/>
  <c r="N37" i="51"/>
  <c r="D49" i="60"/>
  <c r="J16" i="45"/>
  <c r="K25" i="81"/>
  <c r="L23" i="70"/>
  <c r="N95" i="84"/>
  <c r="L52" i="81"/>
  <c r="O19" i="51"/>
  <c r="L12" i="71"/>
  <c r="K57" i="78"/>
  <c r="M73" i="47"/>
  <c r="M76" i="73"/>
  <c r="I54" i="56"/>
  <c r="I100" i="35"/>
  <c r="I6" i="83"/>
  <c r="N22" i="75"/>
  <c r="I28" i="78"/>
  <c r="G36" i="54"/>
  <c r="I97" i="80"/>
  <c r="L106" i="29"/>
  <c r="J39" i="93"/>
  <c r="J31" i="19"/>
  <c r="N100" i="56"/>
  <c r="N34" i="80"/>
  <c r="J104" i="63"/>
  <c r="E98" i="81"/>
  <c r="H47" i="33"/>
  <c r="M33" i="72"/>
  <c r="N7" i="45"/>
  <c r="L52" i="59"/>
  <c r="J73" i="56"/>
  <c r="L74" i="76"/>
  <c r="M36" i="29"/>
  <c r="O56" i="34"/>
  <c r="N12" i="55"/>
  <c r="F39" i="74"/>
  <c r="G42" i="58"/>
  <c r="E61" i="62"/>
  <c r="G13" i="79"/>
  <c r="F45" i="65"/>
  <c r="L6" i="56"/>
  <c r="E79" i="57"/>
  <c r="I8" i="86"/>
  <c r="O35" i="25"/>
  <c r="J25" i="82"/>
  <c r="E80" i="19"/>
  <c r="F10" i="80"/>
  <c r="H45" i="38"/>
  <c r="F27" i="39"/>
  <c r="D26" i="70"/>
  <c r="L41" i="53"/>
  <c r="N103" i="33"/>
  <c r="H13" i="64"/>
  <c r="O38" i="73"/>
  <c r="E61" i="89"/>
  <c r="G107" i="67"/>
  <c r="D12" i="51"/>
  <c r="G95" i="48"/>
  <c r="I70" i="38"/>
  <c r="D92" i="65"/>
  <c r="I32" i="35"/>
  <c r="J57" i="32"/>
  <c r="L36" i="73"/>
  <c r="F55" i="71"/>
  <c r="N15" i="82"/>
  <c r="J36" i="64"/>
  <c r="G64" i="65"/>
  <c r="G33" i="58"/>
  <c r="J21" i="70"/>
  <c r="M9" i="68"/>
  <c r="N43" i="77"/>
  <c r="I106" i="55"/>
  <c r="D30" i="45"/>
  <c r="F49" i="58"/>
  <c r="G25" i="61"/>
  <c r="H17" i="76"/>
  <c r="D97" i="92"/>
  <c r="G98" i="26"/>
  <c r="L19" i="44"/>
  <c r="K5" i="86"/>
  <c r="H94" i="54"/>
  <c r="I59" i="40"/>
  <c r="J4" i="67"/>
  <c r="N30" i="40"/>
  <c r="F17" i="41"/>
  <c r="O15" i="53"/>
  <c r="J67" i="94"/>
  <c r="N100" i="35"/>
  <c r="E77" i="83"/>
  <c r="O5" i="55"/>
  <c r="N101" i="86"/>
  <c r="E56" i="75"/>
  <c r="L51" i="30"/>
  <c r="I94" i="76"/>
  <c r="M85" i="81"/>
  <c r="N16" i="64"/>
  <c r="L37" i="71"/>
  <c r="J106" i="65"/>
  <c r="D11" i="46"/>
  <c r="K33" i="32"/>
  <c r="M28" i="90"/>
  <c r="H104" i="66"/>
  <c r="F13" i="32"/>
  <c r="I70" i="19"/>
  <c r="H27" i="30"/>
  <c r="O37" i="59"/>
  <c r="O16" i="69"/>
  <c r="K67" i="29"/>
  <c r="O5" i="77"/>
  <c r="O61" i="41"/>
  <c r="I4" i="69"/>
  <c r="H86" i="91"/>
  <c r="N27" i="71"/>
  <c r="D101" i="75"/>
  <c r="G103" i="48"/>
  <c r="I41" i="36"/>
  <c r="H94" i="52"/>
  <c r="E44" i="89"/>
  <c r="F103" i="35"/>
  <c r="G6" i="73"/>
  <c r="J50" i="82"/>
  <c r="G40" i="74"/>
  <c r="O58" i="19"/>
  <c r="F61" i="27"/>
  <c r="I71" i="45"/>
  <c r="N13" i="40"/>
  <c r="K85" i="53"/>
  <c r="H53" i="43"/>
  <c r="M4" i="86"/>
  <c r="F34" i="80"/>
  <c r="H58" i="82"/>
  <c r="D36" i="81"/>
  <c r="M107" i="89"/>
  <c r="O71" i="53"/>
  <c r="I65" i="82"/>
  <c r="O21" i="93"/>
  <c r="N16" i="86"/>
  <c r="E59" i="44"/>
  <c r="K103" i="51"/>
  <c r="N27" i="48"/>
  <c r="G61" i="63"/>
  <c r="O92" i="55"/>
  <c r="H59" i="70"/>
  <c r="K79" i="29"/>
  <c r="O67" i="64"/>
  <c r="D28" i="59"/>
  <c r="N91" i="76"/>
  <c r="H89" i="91"/>
  <c r="K34" i="30"/>
  <c r="J98" i="65"/>
  <c r="J30" i="49"/>
  <c r="H9" i="71"/>
  <c r="O9" i="70"/>
  <c r="D49" i="40"/>
  <c r="E39" i="73"/>
  <c r="N106" i="75"/>
  <c r="G88" i="40"/>
  <c r="N6" i="26"/>
  <c r="N9" i="45"/>
  <c r="F89" i="79"/>
  <c r="K10" i="55"/>
  <c r="J13" i="77"/>
  <c r="D88" i="38"/>
  <c r="E73" i="85"/>
  <c r="H73" i="73"/>
  <c r="I62" i="47"/>
  <c r="D106" i="53"/>
  <c r="N32" i="32"/>
  <c r="L67" i="66"/>
  <c r="H24" i="75"/>
  <c r="I70" i="91"/>
  <c r="M65" i="39"/>
  <c r="J52" i="73"/>
  <c r="D53" i="52"/>
  <c r="L58" i="72"/>
  <c r="G57" i="60"/>
  <c r="H25" i="92"/>
  <c r="F27" i="50"/>
  <c r="O50" i="64"/>
  <c r="F57" i="87"/>
  <c r="H20" i="46"/>
  <c r="L20" i="38"/>
  <c r="G65" i="33"/>
  <c r="I44" i="63"/>
  <c r="N7" i="55"/>
  <c r="I53" i="92"/>
  <c r="O41" i="93"/>
  <c r="E25" i="71"/>
  <c r="J100" i="68"/>
  <c r="K64" i="82"/>
  <c r="K88" i="51"/>
  <c r="E28" i="52"/>
  <c r="D51" i="64"/>
  <c r="H16" i="76"/>
  <c r="E65" i="86"/>
  <c r="D11" i="94"/>
  <c r="N101" i="43"/>
  <c r="N98" i="40"/>
  <c r="D61" i="65"/>
  <c r="D5" i="63"/>
  <c r="F36" i="38"/>
  <c r="L9" i="94"/>
  <c r="O17" i="91"/>
  <c r="M5" i="72"/>
  <c r="N13" i="77"/>
  <c r="H106" i="47"/>
  <c r="L52" i="84"/>
  <c r="D33" i="78"/>
  <c r="I107" i="43"/>
  <c r="J77" i="74"/>
  <c r="L18" i="56"/>
  <c r="J64" i="75"/>
  <c r="N85" i="43"/>
  <c r="F19" i="72"/>
  <c r="D54" i="68"/>
  <c r="L73" i="44"/>
  <c r="O33" i="75"/>
  <c r="E76" i="41"/>
  <c r="I57" i="43"/>
  <c r="H13" i="27"/>
  <c r="E83" i="57"/>
  <c r="E77" i="84"/>
  <c r="M32" i="35"/>
  <c r="K16"/>
  <c r="I57" i="84"/>
  <c r="K58" i="63"/>
  <c r="G37" i="86"/>
  <c r="K97" i="29"/>
  <c r="D74" i="49"/>
  <c r="H89" i="78"/>
  <c r="H12" i="47"/>
  <c r="D18" i="60"/>
  <c r="J65" i="45"/>
  <c r="N33" i="51"/>
  <c r="L50" i="74"/>
  <c r="L43" i="60"/>
  <c r="H85" i="66"/>
  <c r="N9" i="57"/>
  <c r="K74" i="61"/>
  <c r="N37" i="83"/>
  <c r="F62" i="36"/>
  <c r="K74" i="83"/>
  <c r="F67" i="80"/>
  <c r="H61" i="85"/>
  <c r="F106" i="27"/>
  <c r="J25" i="94"/>
  <c r="E4" i="80"/>
  <c r="K10" i="92"/>
  <c r="I85" i="26"/>
  <c r="L37" i="84"/>
  <c r="J32" i="51"/>
  <c r="O42" i="58"/>
  <c r="K45" i="46"/>
  <c r="M82" i="81"/>
  <c r="F26" i="61"/>
  <c r="H21" i="27"/>
  <c r="E95" i="93"/>
  <c r="M51" i="19"/>
  <c r="K65" i="94"/>
  <c r="J100" i="34"/>
  <c r="E13" i="67"/>
  <c r="I65" i="83"/>
  <c r="F52" i="80"/>
  <c r="G40" i="86"/>
  <c r="D59" i="85"/>
  <c r="G15" i="32"/>
  <c r="J19" i="71"/>
  <c r="I29" i="29"/>
  <c r="K51" i="33"/>
  <c r="O50" i="83"/>
  <c r="O65" i="54"/>
  <c r="N103" i="35"/>
  <c r="I41" i="87"/>
  <c r="H23" i="34"/>
  <c r="K12" i="86"/>
  <c r="K76" i="63"/>
  <c r="F88" i="81"/>
  <c r="K23"/>
  <c r="F45" i="34"/>
  <c r="E7" i="70"/>
  <c r="O95" i="39"/>
  <c r="D35" i="79"/>
  <c r="N95" i="60"/>
  <c r="H45" i="29"/>
  <c r="D100" i="27"/>
  <c r="O58" i="90"/>
  <c r="L74" i="32"/>
  <c r="H19" i="61"/>
  <c r="L71" i="38"/>
  <c r="H38" i="35"/>
  <c r="I28" i="50"/>
  <c r="K57" i="75"/>
  <c r="O51" i="46"/>
  <c r="D13" i="50"/>
  <c r="J35" i="56"/>
  <c r="N21" i="46"/>
  <c r="H48" i="86"/>
  <c r="G37" i="93"/>
  <c r="F76" i="63"/>
  <c r="J23" i="84"/>
  <c r="O21" i="72"/>
  <c r="F7" i="46"/>
  <c r="I79" i="90"/>
  <c r="D36" i="73"/>
  <c r="L43" i="68"/>
  <c r="L107" i="93"/>
  <c r="M70" i="51"/>
  <c r="L29" i="44"/>
  <c r="O17" i="66"/>
  <c r="G68" i="70"/>
  <c r="K88" i="66"/>
  <c r="E30" i="19"/>
  <c r="N46" i="62"/>
  <c r="M61" i="26"/>
  <c r="H17" i="51"/>
  <c r="E32" i="44"/>
  <c r="H82" i="71"/>
  <c r="J44" i="68"/>
  <c r="O88" i="26"/>
  <c r="E23" i="54"/>
  <c r="D36" i="39"/>
  <c r="J94" i="77"/>
  <c r="O83" i="59"/>
  <c r="M40" i="45"/>
  <c r="G56" i="79"/>
  <c r="E97" i="47"/>
  <c r="L62" i="92"/>
  <c r="G26" i="25"/>
  <c r="J21" i="65"/>
  <c r="O10" i="94"/>
  <c r="G101" i="78"/>
  <c r="F44" i="52"/>
  <c r="L49" i="49"/>
  <c r="F9" i="26"/>
  <c r="G54" i="54"/>
  <c r="K68" i="74"/>
  <c r="G73" i="81"/>
  <c r="K68" i="66"/>
  <c r="K31" i="34"/>
  <c r="J6" i="25"/>
  <c r="J10" i="90"/>
  <c r="D40" i="33"/>
  <c r="E86" i="70"/>
  <c r="F86" i="59"/>
  <c r="M30" i="53"/>
  <c r="D42" i="62"/>
  <c r="H4" i="93"/>
  <c r="L29" i="69"/>
  <c r="M79" i="58"/>
  <c r="G52" i="30"/>
  <c r="H5" i="74"/>
  <c r="E28" i="35"/>
  <c r="H33" i="39"/>
  <c r="G50" i="47"/>
  <c r="J82" i="56"/>
  <c r="E14" i="26"/>
  <c r="F95" i="61"/>
  <c r="O24" i="46"/>
  <c r="O23" i="80"/>
  <c r="E26" i="56"/>
  <c r="D103" i="53"/>
  <c r="F18" i="54"/>
  <c r="H51" i="79"/>
  <c r="E51" i="92"/>
  <c r="D47" i="93"/>
  <c r="J103" i="38"/>
  <c r="G45" i="46"/>
  <c r="K48" i="53"/>
  <c r="I80" i="83"/>
  <c r="I42"/>
  <c r="L61" i="43"/>
  <c r="F67" i="52"/>
  <c r="G11"/>
  <c r="O23" i="35"/>
  <c r="G95" i="19"/>
  <c r="G59" i="86"/>
  <c r="O47" i="47"/>
  <c r="L50" i="45"/>
  <c r="I43" i="89"/>
  <c r="L106" i="77"/>
  <c r="J58" i="26"/>
  <c r="O13" i="83"/>
  <c r="O7" i="65"/>
  <c r="O91" i="38"/>
  <c r="G49" i="19"/>
  <c r="H52" i="46"/>
  <c r="H86" i="40"/>
  <c r="D21" i="43"/>
  <c r="F5" i="69"/>
  <c r="O47" i="74"/>
  <c r="O52" i="40"/>
  <c r="F13" i="85"/>
  <c r="D98" i="27"/>
  <c r="K80"/>
  <c r="L54" i="26"/>
  <c r="M13" i="32"/>
  <c r="N7" i="57"/>
  <c r="F40" i="53"/>
  <c r="I42" i="61"/>
  <c r="I42" i="52"/>
  <c r="J54" i="65"/>
  <c r="H9" i="80"/>
  <c r="L49" i="63"/>
  <c r="D6" i="50"/>
  <c r="O26" i="44"/>
  <c r="N30" i="91"/>
  <c r="N86" i="65"/>
  <c r="I100" i="59"/>
  <c r="D88" i="89"/>
  <c r="E12" i="30"/>
  <c r="M16" i="66"/>
  <c r="E37" i="57"/>
  <c r="H40" i="77"/>
  <c r="H15" i="74"/>
  <c r="G36" i="67"/>
  <c r="E91" i="86"/>
  <c r="I56" i="52"/>
  <c r="K7" i="56"/>
  <c r="F27" i="35"/>
  <c r="D41" i="61"/>
  <c r="G65" i="58"/>
  <c r="N103" i="69"/>
  <c r="D48" i="49"/>
  <c r="L62" i="80"/>
  <c r="I54" i="79"/>
  <c r="I10" i="56"/>
  <c r="M73" i="65"/>
  <c r="G37" i="41"/>
  <c r="D24" i="90"/>
  <c r="I5" i="66"/>
  <c r="G76" i="53"/>
  <c r="F31" i="51"/>
  <c r="H65" i="38"/>
  <c r="M8" i="72"/>
  <c r="D34" i="74"/>
  <c r="M8" i="41"/>
  <c r="H50" i="59"/>
  <c r="J74" i="63"/>
  <c r="E41" i="26"/>
  <c r="N52" i="73"/>
  <c r="I82" i="29"/>
  <c r="F18"/>
  <c r="I71" i="92"/>
  <c r="H101" i="29"/>
  <c r="I51" i="91"/>
  <c r="O4"/>
  <c r="O103" i="27"/>
  <c r="L62" i="74"/>
  <c r="K55" i="71"/>
  <c r="K16"/>
  <c r="M34" i="29"/>
  <c r="H49" i="40"/>
  <c r="O50" i="80"/>
  <c r="F58" i="58"/>
  <c r="G104" i="61"/>
  <c r="J43" i="56"/>
  <c r="N11" i="82"/>
  <c r="J100" i="75"/>
  <c r="G13" i="43"/>
  <c r="G45" i="93"/>
  <c r="G62" i="71"/>
  <c r="D76" i="44"/>
  <c r="H79" i="89"/>
  <c r="M58" i="83"/>
  <c r="L106" i="71"/>
  <c r="F37" i="90"/>
  <c r="D39" i="57"/>
  <c r="G13" i="70"/>
  <c r="J88" i="26"/>
  <c r="N70" i="43"/>
  <c r="H14" i="79"/>
  <c r="K55" i="66"/>
  <c r="M53" i="64"/>
  <c r="I86" i="41"/>
  <c r="J33" i="91"/>
  <c r="O59" i="65"/>
  <c r="F37" i="93"/>
  <c r="D104" i="39"/>
  <c r="J22" i="70"/>
  <c r="I53" i="81"/>
  <c r="O82" i="70"/>
  <c r="N68" i="59"/>
  <c r="I40" i="19"/>
  <c r="N76" i="87"/>
  <c r="H31" i="60"/>
  <c r="F106" i="26"/>
  <c r="M21" i="78"/>
  <c r="J53" i="27"/>
  <c r="M15" i="74"/>
  <c r="G47" i="87"/>
  <c r="H15" i="55"/>
  <c r="K59" i="39"/>
  <c r="O5" i="36"/>
  <c r="J103" i="58"/>
  <c r="G12" i="94"/>
  <c r="O15" i="80"/>
  <c r="G48" i="25"/>
  <c r="N101" i="89"/>
  <c r="E34" i="93"/>
  <c r="E42" i="84"/>
  <c r="J23" i="92"/>
  <c r="N85" i="69"/>
  <c r="N31" i="77"/>
  <c r="D97" i="44"/>
  <c r="L73" i="89"/>
  <c r="E33" i="79"/>
  <c r="G62" i="53"/>
  <c r="G54" i="81"/>
  <c r="E37" i="47"/>
  <c r="I86" i="57"/>
  <c r="E42" i="65"/>
  <c r="E95" i="70"/>
  <c r="O71" i="30"/>
  <c r="E20" i="63"/>
  <c r="G35" i="70"/>
  <c r="M64" i="91"/>
  <c r="J23" i="76"/>
  <c r="D31" i="33"/>
  <c r="E26" i="30"/>
  <c r="J39" i="79"/>
  <c r="H57"/>
  <c r="O107" i="91"/>
  <c r="G41" i="65"/>
  <c r="E106" i="48"/>
  <c r="L25" i="77"/>
  <c r="N106" i="76"/>
  <c r="G86" i="48"/>
  <c r="J44" i="82"/>
  <c r="F24" i="66"/>
  <c r="F57" i="80"/>
  <c r="O31" i="67"/>
  <c r="H77" i="51"/>
  <c r="L94" i="49"/>
  <c r="N48" i="78"/>
  <c r="N27" i="56"/>
  <c r="M50" i="78"/>
  <c r="N104" i="60"/>
  <c r="F49" i="77"/>
  <c r="H15" i="44"/>
  <c r="I14" i="27"/>
  <c r="H74" i="44"/>
  <c r="N50" i="38"/>
  <c r="N17" i="43"/>
  <c r="K18" i="86"/>
  <c r="I86" i="47"/>
  <c r="D35" i="80"/>
  <c r="G48" i="86"/>
  <c r="L6" i="93"/>
  <c r="O40" i="36"/>
  <c r="M30" i="32"/>
  <c r="N25" i="87"/>
  <c r="H10" i="49"/>
  <c r="O9" i="66"/>
  <c r="N59" i="43"/>
  <c r="J83" i="47"/>
  <c r="M38" i="89"/>
  <c r="J106" i="78"/>
  <c r="N23" i="70"/>
  <c r="G44" i="60"/>
  <c r="L23" i="75"/>
  <c r="G73" i="86"/>
  <c r="N91" i="91"/>
  <c r="L91" i="41"/>
  <c r="G26" i="53"/>
  <c r="J94" i="45"/>
  <c r="J103" i="71"/>
  <c r="O70" i="49"/>
  <c r="F12" i="56"/>
  <c r="E51" i="29"/>
  <c r="I18" i="64"/>
  <c r="I31" i="30"/>
  <c r="E50" i="49"/>
  <c r="L39" i="40"/>
  <c r="G17" i="67"/>
  <c r="O74" i="39"/>
  <c r="F10" i="27"/>
  <c r="K95" i="81"/>
  <c r="D83" i="43"/>
  <c r="N29" i="75"/>
  <c r="E67" i="59"/>
  <c r="E58" i="94"/>
  <c r="G20" i="80"/>
  <c r="E30" i="50"/>
  <c r="G26" i="75"/>
  <c r="K11" i="51"/>
  <c r="M95" i="69"/>
  <c r="D77" i="41"/>
  <c r="E34" i="89"/>
  <c r="D59" i="83"/>
  <c r="O10" i="63"/>
  <c r="L18" i="33"/>
  <c r="M20" i="90"/>
  <c r="K73" i="62"/>
  <c r="E73" i="27"/>
  <c r="E21" i="64"/>
  <c r="O10" i="54"/>
  <c r="M104" i="47"/>
  <c r="I13" i="82"/>
  <c r="D82" i="61"/>
  <c r="G104" i="70"/>
  <c r="J88" i="75"/>
  <c r="G54" i="56"/>
  <c r="O38" i="29"/>
  <c r="I71" i="61"/>
  <c r="J35" i="94"/>
  <c r="D43" i="83"/>
  <c r="G15" i="70"/>
  <c r="J22" i="92"/>
  <c r="G33" i="36"/>
  <c r="L67" i="72"/>
  <c r="I65" i="46"/>
  <c r="K46" i="59"/>
  <c r="N15" i="54"/>
  <c r="O27" i="47"/>
  <c r="G88" i="71"/>
  <c r="O7" i="63"/>
  <c r="G40" i="32"/>
  <c r="J74" i="58"/>
  <c r="M32" i="73"/>
  <c r="O10" i="39"/>
  <c r="G56" i="49"/>
  <c r="I88" i="86"/>
  <c r="H10" i="61"/>
  <c r="L24" i="94"/>
  <c r="H80" i="53"/>
  <c r="L38" i="26"/>
  <c r="E14" i="93"/>
  <c r="J25" i="60"/>
  <c r="I36" i="82"/>
  <c r="M4" i="25"/>
  <c r="E59" i="85"/>
  <c r="F21" i="48"/>
  <c r="M88" i="83"/>
  <c r="H65" i="61"/>
  <c r="E57" i="67"/>
  <c r="H37" i="50"/>
  <c r="O51" i="45"/>
  <c r="I27" i="64"/>
  <c r="K39" i="94"/>
  <c r="G56" i="57"/>
  <c r="L23" i="29"/>
  <c r="L73" i="65"/>
  <c r="G53" i="47"/>
  <c r="F37" i="46"/>
  <c r="G8" i="41"/>
  <c r="G67" i="92"/>
  <c r="O36" i="82"/>
  <c r="O52" i="66"/>
  <c r="G18" i="61"/>
  <c r="M55" i="43"/>
  <c r="L32" i="80"/>
  <c r="F101" i="86"/>
  <c r="H14" i="61"/>
  <c r="I22" i="46"/>
  <c r="J57" i="65"/>
  <c r="O73" i="61"/>
  <c r="O59" i="32"/>
  <c r="H89" i="49"/>
  <c r="N91" i="34"/>
  <c r="G6" i="63"/>
  <c r="E106" i="30"/>
  <c r="O85" i="48"/>
  <c r="H82" i="49"/>
  <c r="O41" i="65"/>
  <c r="G79" i="61"/>
  <c r="E45" i="29"/>
  <c r="N76" i="49"/>
  <c r="D11" i="53"/>
  <c r="E25" i="73"/>
  <c r="G14" i="75"/>
  <c r="J43" i="84"/>
  <c r="D59" i="39"/>
  <c r="K36" i="60"/>
  <c r="L23" i="45"/>
  <c r="J17" i="57"/>
  <c r="M53" i="27"/>
  <c r="D89" i="72"/>
  <c r="H4" i="51"/>
  <c r="F34" i="64"/>
  <c r="M28" i="54"/>
  <c r="J54" i="56"/>
  <c r="L20" i="80"/>
  <c r="H58" i="50"/>
  <c r="M12" i="44"/>
  <c r="L37" i="30"/>
  <c r="E17" i="73"/>
  <c r="N18" i="74"/>
  <c r="G27" i="49"/>
  <c r="I10" i="86"/>
  <c r="E89" i="73"/>
  <c r="D68" i="33"/>
  <c r="M16" i="63"/>
  <c r="L26" i="75"/>
  <c r="F101" i="34"/>
  <c r="O33" i="49"/>
  <c r="L22" i="70"/>
  <c r="L16" i="27"/>
  <c r="N77" i="41"/>
  <c r="K29" i="67"/>
  <c r="O62" i="93"/>
  <c r="E92" i="72"/>
  <c r="G86" i="53"/>
  <c r="D9" i="61"/>
  <c r="J32" i="58"/>
  <c r="E55" i="53"/>
  <c r="J92" i="94"/>
  <c r="L31" i="45"/>
  <c r="O31" i="53"/>
  <c r="H15" i="29"/>
  <c r="L80" i="51"/>
  <c r="O86" i="82"/>
  <c r="O85" i="67"/>
  <c r="N12" i="56"/>
  <c r="L12" i="76"/>
  <c r="G25" i="27"/>
  <c r="J85" i="89"/>
  <c r="H16" i="69"/>
  <c r="M94" i="84"/>
  <c r="K56" i="40"/>
  <c r="J13"/>
  <c r="N43" i="73"/>
  <c r="D42" i="52"/>
  <c r="J14" i="49"/>
  <c r="D97" i="94"/>
  <c r="F68" i="76"/>
  <c r="I42" i="80"/>
  <c r="H89" i="66"/>
  <c r="O58" i="80"/>
  <c r="O103" i="93"/>
  <c r="O32" i="55"/>
  <c r="D25" i="89"/>
  <c r="O47" i="57"/>
  <c r="D76" i="50"/>
  <c r="H64" i="84"/>
  <c r="E41" i="78"/>
  <c r="H98" i="44"/>
  <c r="M17" i="68"/>
  <c r="J21" i="26"/>
  <c r="I43" i="25"/>
  <c r="E61" i="79"/>
  <c r="N26" i="45"/>
  <c r="I95" i="77"/>
  <c r="N30" i="89"/>
  <c r="I41" i="47"/>
  <c r="H46" i="32"/>
  <c r="N17" i="29"/>
  <c r="J8" i="60"/>
  <c r="J16" i="82"/>
  <c r="G18" i="60"/>
  <c r="J19" i="19"/>
  <c r="F16" i="65"/>
  <c r="O21" i="75"/>
  <c r="K100" i="93"/>
  <c r="M73" i="33"/>
  <c r="E26" i="65"/>
  <c r="O97" i="80"/>
  <c r="K95" i="69"/>
  <c r="M52" i="57"/>
  <c r="D41" i="80"/>
  <c r="E21" i="50"/>
  <c r="D88" i="40"/>
  <c r="J27" i="26"/>
  <c r="L95" i="94"/>
  <c r="G21" i="30"/>
  <c r="J68" i="54"/>
  <c r="E59" i="26"/>
  <c r="J64" i="77"/>
  <c r="H44" i="76"/>
  <c r="O15" i="91"/>
  <c r="D51" i="71"/>
  <c r="H65" i="72"/>
  <c r="N101" i="55"/>
  <c r="F55" i="58"/>
  <c r="J55" i="54"/>
  <c r="M40" i="69"/>
  <c r="L50" i="55"/>
  <c r="H80" i="73"/>
  <c r="K85" i="75"/>
  <c r="G41" i="61"/>
  <c r="F38" i="63"/>
  <c r="L37" i="32"/>
  <c r="H67" i="80"/>
  <c r="F73" i="47"/>
  <c r="M34" i="62"/>
  <c r="K94" i="47"/>
  <c r="D18" i="30"/>
  <c r="G38" i="67"/>
  <c r="G24" i="71"/>
  <c r="O17" i="56"/>
  <c r="M53" i="45"/>
  <c r="G45" i="60"/>
  <c r="L79" i="62"/>
  <c r="L53" i="94"/>
  <c r="O9" i="26"/>
  <c r="J51" i="56"/>
  <c r="M13" i="25"/>
  <c r="G94" i="36"/>
  <c r="N4" i="33"/>
  <c r="O35" i="27"/>
  <c r="L62" i="43"/>
  <c r="L73" i="64"/>
  <c r="G29" i="56"/>
  <c r="E16" i="27"/>
  <c r="F25" i="62"/>
  <c r="L80" i="55"/>
  <c r="G55" i="39"/>
  <c r="F53" i="40"/>
  <c r="J22" i="82"/>
  <c r="O38" i="47"/>
  <c r="I42" i="46"/>
  <c r="H52" i="19"/>
  <c r="I103" i="63"/>
  <c r="L25" i="60"/>
  <c r="K104" i="29"/>
  <c r="O85" i="76"/>
  <c r="L27" i="41"/>
  <c r="O65" i="71"/>
  <c r="J9" i="76"/>
  <c r="H57" i="84"/>
  <c r="M16" i="32"/>
  <c r="E68" i="60"/>
  <c r="N6" i="90"/>
  <c r="J64" i="70"/>
  <c r="H15" i="81"/>
  <c r="M31" i="87"/>
  <c r="J51" i="32"/>
  <c r="K59" i="25"/>
  <c r="O4" i="30"/>
  <c r="O49" i="80"/>
  <c r="I38" i="55"/>
  <c r="L77" i="84"/>
  <c r="L92" i="34"/>
  <c r="F35" i="85"/>
  <c r="G19" i="53"/>
  <c r="K22" i="87"/>
  <c r="I104" i="56"/>
  <c r="D73" i="89"/>
  <c r="G25" i="91"/>
  <c r="O82" i="89"/>
  <c r="F97" i="39"/>
  <c r="K12" i="47"/>
  <c r="J58" i="36"/>
  <c r="L106" i="66"/>
  <c r="E5" i="87"/>
  <c r="I59" i="60"/>
  <c r="H94" i="61"/>
  <c r="E97" i="80"/>
  <c r="K48" i="40"/>
  <c r="E49" i="73"/>
  <c r="L6" i="53"/>
  <c r="F23" i="41"/>
  <c r="E26" i="71"/>
  <c r="H83" i="79"/>
  <c r="K77" i="30"/>
  <c r="H23" i="57"/>
  <c r="L44" i="76"/>
  <c r="J16" i="29"/>
  <c r="N9" i="90"/>
  <c r="F106" i="63"/>
  <c r="O7" i="32"/>
  <c r="I91" i="70"/>
  <c r="K103" i="76"/>
  <c r="J104" i="26"/>
  <c r="O16" i="19"/>
  <c r="F16" i="39"/>
  <c r="N73" i="56"/>
  <c r="G34" i="90"/>
  <c r="F68" i="47"/>
  <c r="L83" i="33"/>
  <c r="L67" i="56"/>
  <c r="I11" i="40"/>
  <c r="I62" i="84"/>
  <c r="M103" i="45"/>
  <c r="D103" i="70"/>
  <c r="F104" i="93"/>
  <c r="I28" i="79"/>
  <c r="D103" i="77"/>
  <c r="J14" i="50"/>
  <c r="L76" i="92"/>
  <c r="G9" i="38"/>
  <c r="D17" i="81"/>
  <c r="O50" i="92"/>
  <c r="G18" i="56"/>
  <c r="N35" i="71"/>
  <c r="H53" i="77"/>
  <c r="O100" i="84"/>
  <c r="H37" i="59"/>
  <c r="H58" i="25"/>
  <c r="H5" i="68"/>
  <c r="N36" i="46"/>
  <c r="L10" i="36"/>
  <c r="K28" i="19"/>
  <c r="L86" i="47"/>
  <c r="J77" i="76"/>
  <c r="CA81" i="3"/>
  <c r="O23" i="78"/>
  <c r="I71" i="60"/>
  <c r="F39" i="55"/>
  <c r="M5" i="94"/>
  <c r="M37" i="68"/>
  <c r="D65" i="85"/>
  <c r="O106" i="74"/>
  <c r="H71" i="40"/>
  <c r="L40" i="39"/>
  <c r="F79" i="79"/>
  <c r="K98" i="47"/>
  <c r="G100" i="35"/>
  <c r="D19" i="84"/>
  <c r="M52" i="51"/>
  <c r="J12" i="73"/>
  <c r="E59" i="56"/>
  <c r="M58" i="33"/>
  <c r="J54" i="29"/>
  <c r="M73" i="60"/>
  <c r="L20" i="64"/>
  <c r="D104" i="56"/>
  <c r="D97" i="65"/>
  <c r="I79" i="80"/>
  <c r="I64" i="34"/>
  <c r="I39" i="54"/>
  <c r="E13" i="78"/>
  <c r="L97" i="48"/>
  <c r="G106" i="68"/>
  <c r="F95" i="71"/>
  <c r="E55" i="54"/>
  <c r="J79" i="90"/>
  <c r="F38" i="68"/>
  <c r="O47" i="81"/>
  <c r="J55" i="40"/>
  <c r="E95" i="94"/>
  <c r="F44" i="54"/>
  <c r="O18" i="64"/>
  <c r="L52" i="45"/>
  <c r="K39" i="83"/>
  <c r="N85" i="27"/>
  <c r="M38" i="51"/>
  <c r="F48" i="91"/>
  <c r="I7" i="49"/>
  <c r="O76" i="35"/>
  <c r="K104"/>
  <c r="N70" i="41"/>
  <c r="I34" i="34"/>
  <c r="J24" i="40"/>
  <c r="I7" i="34"/>
  <c r="L33" i="35"/>
  <c r="K106" i="60"/>
  <c r="M20" i="91"/>
  <c r="J35" i="80"/>
  <c r="F25" i="70"/>
  <c r="D38" i="72"/>
  <c r="K73" i="90"/>
  <c r="M58" i="72"/>
  <c r="L20" i="36"/>
  <c r="G44" i="84"/>
  <c r="O103" i="56"/>
  <c r="D52" i="26"/>
  <c r="D53" i="76"/>
  <c r="E32" i="19"/>
  <c r="I27" i="52"/>
  <c r="H35" i="85"/>
  <c r="E15" i="92"/>
  <c r="D62" i="83"/>
  <c r="F70" i="36"/>
  <c r="H43" i="55"/>
  <c r="O17" i="93"/>
  <c r="D106" i="55"/>
  <c r="K64" i="35"/>
  <c r="H58" i="54"/>
  <c r="O94" i="63"/>
  <c r="H7" i="84"/>
  <c r="J92" i="66"/>
  <c r="D83" i="40"/>
  <c r="E22" i="55"/>
  <c r="G47" i="92"/>
  <c r="I20" i="71"/>
  <c r="O104" i="59"/>
  <c r="O32" i="66"/>
  <c r="H46" i="86"/>
  <c r="M32" i="83"/>
  <c r="I5" i="64"/>
  <c r="M21" i="67"/>
  <c r="D80" i="61"/>
  <c r="G106" i="45"/>
  <c r="O11" i="81"/>
  <c r="H38" i="70"/>
  <c r="D6" i="45"/>
  <c r="K22" i="58"/>
  <c r="F48" i="32"/>
  <c r="I101" i="46"/>
  <c r="J70" i="64"/>
  <c r="F106" i="76"/>
  <c r="D67" i="82"/>
  <c r="K71" i="75"/>
  <c r="E77" i="52"/>
  <c r="I58" i="26"/>
  <c r="G21" i="38"/>
  <c r="M77" i="87"/>
  <c r="M27" i="82"/>
  <c r="M92" i="58"/>
  <c r="K54" i="93"/>
  <c r="H76" i="19"/>
  <c r="J101" i="91"/>
  <c r="G46" i="90"/>
  <c r="L43" i="26"/>
  <c r="H97" i="40"/>
  <c r="L17" i="74"/>
  <c r="D35" i="49"/>
  <c r="K7" i="73"/>
  <c r="N21" i="36"/>
  <c r="K50" i="70"/>
  <c r="I74" i="39"/>
  <c r="D67" i="43"/>
  <c r="H40" i="85"/>
  <c r="H12" i="57"/>
  <c r="H27" i="63"/>
  <c r="I104" i="44"/>
  <c r="H74" i="41"/>
  <c r="J29" i="59"/>
  <c r="D89" i="58"/>
  <c r="G49" i="75"/>
  <c r="E51" i="66"/>
  <c r="E12" i="91"/>
  <c r="F100" i="45"/>
  <c r="J85" i="33"/>
  <c r="L59" i="61"/>
  <c r="O15" i="83"/>
  <c r="D52" i="43"/>
  <c r="E104" i="70"/>
  <c r="M33" i="47"/>
  <c r="I71" i="39"/>
  <c r="K104" i="92"/>
  <c r="L33" i="46"/>
  <c r="G33" i="75"/>
  <c r="D14" i="27"/>
  <c r="J106" i="43"/>
  <c r="N55" i="93"/>
  <c r="E7" i="58"/>
  <c r="L97" i="78"/>
  <c r="K100" i="75"/>
  <c r="I70" i="77"/>
  <c r="K106" i="49"/>
  <c r="L80" i="40"/>
  <c r="F32" i="39"/>
  <c r="E20"/>
  <c r="F106" i="47"/>
  <c r="M20" i="30"/>
  <c r="H8" i="87"/>
  <c r="E5" i="34"/>
  <c r="F32" i="78"/>
  <c r="G92" i="54"/>
  <c r="O15" i="66"/>
  <c r="M36" i="75"/>
  <c r="I97" i="40"/>
  <c r="F47" i="70"/>
  <c r="N51" i="58"/>
  <c r="H14" i="44"/>
  <c r="J71" i="92"/>
  <c r="D9" i="46"/>
  <c r="D48" i="87"/>
  <c r="J62" i="32"/>
  <c r="F14" i="81"/>
  <c r="G33" i="72"/>
  <c r="M23" i="25"/>
  <c r="E21" i="19"/>
  <c r="L15" i="62"/>
  <c r="G15" i="59"/>
  <c r="L17" i="66"/>
  <c r="J77" i="94"/>
  <c r="N40" i="57"/>
  <c r="L31" i="74"/>
  <c r="O86" i="83"/>
  <c r="E46" i="65"/>
  <c r="M82" i="69"/>
  <c r="F40" i="54"/>
  <c r="K4" i="35"/>
  <c r="L80" i="76"/>
  <c r="F56" i="62"/>
  <c r="L54" i="57"/>
  <c r="K54" i="70"/>
  <c r="L70" i="32"/>
  <c r="K70" i="46"/>
  <c r="F62" i="70"/>
  <c r="F28" i="80"/>
  <c r="E65" i="61"/>
  <c r="K97" i="78"/>
  <c r="G41" i="94"/>
  <c r="O44" i="62"/>
  <c r="J79" i="45"/>
  <c r="F83" i="52"/>
  <c r="K44" i="76"/>
  <c r="J16" i="25"/>
  <c r="O57" i="83"/>
  <c r="D21" i="75"/>
  <c r="K71" i="72"/>
  <c r="M70" i="27"/>
  <c r="N98" i="55"/>
  <c r="M6" i="47"/>
  <c r="F65" i="53"/>
  <c r="I83" i="63"/>
  <c r="F37" i="68"/>
  <c r="O101" i="80"/>
  <c r="L98" i="69"/>
  <c r="H42" i="73"/>
  <c r="H35" i="39"/>
  <c r="I25" i="63"/>
  <c r="K30" i="32"/>
  <c r="O70" i="60"/>
  <c r="G24"/>
  <c r="M45" i="62"/>
  <c r="E52" i="44"/>
  <c r="H25" i="77"/>
  <c r="K92" i="45"/>
  <c r="O71" i="51"/>
  <c r="G13" i="48"/>
  <c r="D29" i="53"/>
  <c r="N17" i="49"/>
  <c r="D61" i="53"/>
  <c r="D37" i="39"/>
  <c r="H19" i="91"/>
  <c r="I64" i="38"/>
  <c r="I31" i="50"/>
  <c r="K21" i="62"/>
  <c r="K88" i="58"/>
  <c r="K61" i="30"/>
  <c r="F85" i="64"/>
  <c r="D53" i="93"/>
  <c r="E76" i="60"/>
  <c r="F103" i="54"/>
  <c r="M33" i="82"/>
  <c r="L56" i="29"/>
  <c r="F28" i="56"/>
  <c r="J40" i="53"/>
  <c r="K92" i="60"/>
  <c r="I21" i="58"/>
  <c r="E58" i="59"/>
  <c r="I4" i="33"/>
  <c r="D65" i="53"/>
  <c r="H59" i="51"/>
  <c r="F18" i="39"/>
  <c r="E49" i="51"/>
  <c r="O39" i="56"/>
  <c r="H106" i="77"/>
  <c r="G79" i="52"/>
  <c r="K49" i="61"/>
  <c r="L98" i="41"/>
  <c r="K19" i="59"/>
  <c r="K97" i="41"/>
  <c r="K61" i="69"/>
  <c r="M25" i="67"/>
  <c r="E30" i="46"/>
  <c r="D24" i="32"/>
  <c r="E33" i="71"/>
  <c r="L6" i="35"/>
  <c r="F76" i="34"/>
  <c r="H41" i="46"/>
  <c r="M46" i="70"/>
  <c r="L32" i="62"/>
  <c r="L4" i="53"/>
  <c r="L7" i="84"/>
  <c r="H59" i="56"/>
  <c r="K106" i="43"/>
  <c r="I94" i="57"/>
  <c r="G18" i="63"/>
  <c r="O32" i="41"/>
  <c r="J11" i="58"/>
  <c r="E42" i="46"/>
  <c r="G82" i="47"/>
  <c r="E56" i="70"/>
  <c r="N14" i="35"/>
  <c r="O76" i="25"/>
  <c r="H58" i="65"/>
  <c r="D70" i="83"/>
  <c r="L10" i="92"/>
  <c r="J8" i="77"/>
  <c r="D10" i="81"/>
  <c r="L88" i="91"/>
  <c r="H21" i="80"/>
  <c r="O12" i="19"/>
  <c r="N16" i="83"/>
  <c r="L98" i="73"/>
  <c r="E59" i="89"/>
  <c r="K98" i="32"/>
  <c r="E42" i="62"/>
  <c r="I86" i="45"/>
  <c r="E65" i="34"/>
  <c r="F107" i="72"/>
  <c r="I68" i="54"/>
  <c r="H12" i="89"/>
  <c r="N50" i="83"/>
  <c r="J53" i="75"/>
  <c r="M76" i="62"/>
  <c r="G79"/>
  <c r="D22" i="55"/>
  <c r="G35" i="59"/>
  <c r="N62" i="86"/>
  <c r="N17" i="19"/>
  <c r="K14" i="33"/>
  <c r="L34" i="73"/>
  <c r="M76" i="87"/>
  <c r="L50" i="66"/>
  <c r="N73" i="44"/>
  <c r="O28" i="67"/>
  <c r="F15" i="73"/>
  <c r="K97" i="33"/>
  <c r="K55" i="43"/>
  <c r="O85" i="66"/>
  <c r="D19" i="80"/>
  <c r="L100" i="83"/>
  <c r="J79" i="60"/>
  <c r="H48" i="90"/>
  <c r="L89" i="64"/>
  <c r="G88" i="47"/>
  <c r="D59" i="71"/>
  <c r="N34" i="63"/>
  <c r="G57" i="66"/>
  <c r="O22" i="86"/>
  <c r="G51" i="60"/>
  <c r="F62" i="59"/>
  <c r="K82" i="73"/>
  <c r="H44" i="80"/>
  <c r="E85" i="60"/>
  <c r="M61" i="32"/>
  <c r="K25" i="64"/>
  <c r="F86" i="32"/>
  <c r="J51" i="40"/>
  <c r="G43" i="75"/>
  <c r="D18" i="69"/>
  <c r="I34" i="63"/>
  <c r="G85" i="64"/>
  <c r="F98"/>
  <c r="H4" i="72"/>
  <c r="M59" i="49"/>
  <c r="E97" i="50"/>
  <c r="H48" i="45"/>
  <c r="M25" i="48"/>
  <c r="G7" i="90"/>
  <c r="L58" i="80"/>
  <c r="O47" i="87"/>
  <c r="M89" i="89"/>
  <c r="H11" i="35"/>
  <c r="I13" i="86"/>
  <c r="H76" i="54"/>
  <c r="F18" i="32"/>
  <c r="N46" i="49"/>
  <c r="G51" i="65"/>
  <c r="O31" i="91"/>
  <c r="H97" i="29"/>
  <c r="E48" i="68"/>
  <c r="D44" i="87"/>
  <c r="G13" i="57"/>
  <c r="H4" i="33"/>
  <c r="H59" i="73"/>
  <c r="L34" i="74"/>
  <c r="F27" i="71"/>
  <c r="D43" i="49"/>
  <c r="F22" i="86"/>
  <c r="D70" i="56"/>
  <c r="G18" i="48"/>
  <c r="G47" i="46"/>
  <c r="G104" i="83"/>
  <c r="E34" i="82"/>
  <c r="F94" i="80"/>
  <c r="D65" i="90"/>
  <c r="O43" i="45"/>
  <c r="K64" i="56"/>
  <c r="E54" i="54"/>
  <c r="I73" i="83"/>
  <c r="L59" i="81"/>
  <c r="H12" i="93"/>
  <c r="I77" i="33"/>
  <c r="D29" i="89"/>
  <c r="K44" i="70"/>
  <c r="F32" i="29"/>
  <c r="O62" i="60"/>
  <c r="N76" i="90"/>
  <c r="K46" i="53"/>
  <c r="E52" i="54"/>
  <c r="O4" i="63"/>
  <c r="M11" i="67"/>
  <c r="J50" i="30"/>
  <c r="O11" i="83"/>
  <c r="H100" i="74"/>
  <c r="M24" i="47"/>
  <c r="I26" i="66"/>
  <c r="I92" i="92"/>
  <c r="E100" i="80"/>
  <c r="M52" i="64"/>
  <c r="J88" i="80"/>
  <c r="E100" i="68"/>
  <c r="I40" i="62"/>
  <c r="L77" i="55"/>
  <c r="D11" i="40"/>
  <c r="N61" i="30"/>
  <c r="J59" i="43"/>
  <c r="I46" i="66"/>
  <c r="I104" i="70"/>
  <c r="N62" i="38"/>
  <c r="G89" i="62"/>
  <c r="L62" i="69"/>
  <c r="O79" i="47"/>
  <c r="G94" i="52"/>
  <c r="F70" i="55"/>
  <c r="O17" i="61"/>
  <c r="G80" i="67"/>
  <c r="M88" i="57"/>
  <c r="E61" i="33"/>
  <c r="O55" i="68"/>
  <c r="H45" i="77"/>
  <c r="D58" i="75"/>
  <c r="N15" i="64"/>
  <c r="K7" i="32"/>
  <c r="I4" i="77"/>
  <c r="O77" i="29"/>
  <c r="F62" i="27"/>
  <c r="J103" i="90"/>
  <c r="M57" i="86"/>
  <c r="I59" i="64"/>
  <c r="L91" i="91"/>
  <c r="K16" i="47"/>
  <c r="I95" i="39"/>
  <c r="N18" i="94"/>
  <c r="J56" i="65"/>
  <c r="O12" i="64"/>
  <c r="N65" i="84"/>
  <c r="L10" i="75"/>
  <c r="K31" i="61"/>
  <c r="I65" i="94"/>
  <c r="L92" i="46"/>
  <c r="M18" i="48"/>
  <c r="I13" i="76"/>
  <c r="I95" i="83"/>
  <c r="M49" i="84"/>
  <c r="O85" i="75"/>
  <c r="N33" i="74"/>
  <c r="G61" i="79"/>
  <c r="G62" i="89"/>
  <c r="H92" i="29"/>
  <c r="O44" i="27"/>
  <c r="O38" i="54"/>
  <c r="J79" i="72"/>
  <c r="I41" i="68"/>
  <c r="O106" i="47"/>
  <c r="N4" i="58"/>
  <c r="D40" i="87"/>
  <c r="F50" i="91"/>
  <c r="D58" i="61"/>
  <c r="I54" i="55"/>
  <c r="G97" i="42"/>
  <c r="H54" i="74"/>
  <c r="E7" i="76"/>
  <c r="O57" i="41"/>
  <c r="L15" i="27"/>
  <c r="F56" i="86"/>
  <c r="J10" i="39"/>
  <c r="G71" i="74"/>
  <c r="I95" i="35"/>
  <c r="O107" i="49"/>
  <c r="M71" i="43"/>
  <c r="I38" i="78"/>
  <c r="H101" i="80"/>
  <c r="O56" i="56"/>
  <c r="K53" i="93"/>
  <c r="E85" i="29"/>
  <c r="L34" i="76"/>
  <c r="N32" i="87"/>
  <c r="D71" i="93"/>
  <c r="L19" i="83"/>
  <c r="K95" i="55"/>
  <c r="K37" i="60"/>
  <c r="L76" i="55"/>
  <c r="J4" i="87"/>
  <c r="E32" i="57"/>
  <c r="H38" i="93"/>
  <c r="F14" i="45"/>
  <c r="G73" i="92"/>
  <c r="O9" i="91"/>
  <c r="E30" i="81"/>
  <c r="G89" i="90"/>
  <c r="M101" i="67"/>
  <c r="E73" i="43"/>
  <c r="M5" i="40"/>
  <c r="L35" i="61"/>
  <c r="G25" i="26"/>
  <c r="K28" i="34"/>
  <c r="I64" i="19"/>
  <c r="N29" i="78"/>
  <c r="J5" i="61"/>
  <c r="J6" i="58"/>
  <c r="J106" i="66"/>
  <c r="I33" i="34"/>
  <c r="K45"/>
  <c r="I106" i="54"/>
  <c r="I80" i="92"/>
  <c r="K31" i="78"/>
  <c r="I98" i="79"/>
  <c r="L48" i="58"/>
  <c r="N5" i="55"/>
  <c r="M76" i="30"/>
  <c r="N49" i="25"/>
  <c r="I82" i="53"/>
  <c r="H32" i="19"/>
  <c r="J31" i="54"/>
  <c r="J14" i="27"/>
  <c r="H88" i="69"/>
  <c r="D14" i="44"/>
  <c r="O6" i="58"/>
  <c r="L107" i="94"/>
  <c r="M85" i="73"/>
  <c r="E65" i="60"/>
  <c r="I22" i="47"/>
  <c r="F20" i="39"/>
  <c r="F65" i="25"/>
  <c r="O86" i="86"/>
  <c r="E28" i="76"/>
  <c r="L18" i="38"/>
  <c r="I65" i="27"/>
  <c r="H35"/>
  <c r="G38" i="68"/>
  <c r="E77" i="43"/>
  <c r="L97" i="84"/>
  <c r="K80" i="51"/>
  <c r="I48" i="86"/>
  <c r="H41" i="34"/>
  <c r="F32" i="35"/>
  <c r="O68" i="19"/>
  <c r="O104" i="94"/>
  <c r="D8" i="86"/>
  <c r="J58" i="64"/>
  <c r="K56" i="78"/>
  <c r="J14" i="36"/>
  <c r="N18" i="87"/>
  <c r="J59" i="94"/>
  <c r="D80" i="43"/>
  <c r="F106" i="75"/>
  <c r="G61" i="62"/>
  <c r="F32" i="48"/>
  <c r="I30" i="82"/>
  <c r="O43" i="63"/>
  <c r="I34" i="65"/>
  <c r="K61" i="51"/>
  <c r="E94" i="92"/>
  <c r="F40" i="51"/>
  <c r="I85" i="41"/>
  <c r="F64" i="79"/>
  <c r="J43" i="43"/>
  <c r="G48" i="40"/>
  <c r="E16" i="82"/>
  <c r="K101" i="70"/>
  <c r="I56" i="85"/>
  <c r="O94" i="19"/>
  <c r="N107" i="61"/>
  <c r="H85" i="79"/>
  <c r="O85" i="92"/>
  <c r="N51" i="44"/>
  <c r="I104" i="79"/>
  <c r="H91" i="55"/>
  <c r="N22" i="41"/>
  <c r="I79"/>
  <c r="F33" i="77"/>
  <c r="M19" i="81"/>
  <c r="K8" i="58"/>
  <c r="D53" i="89"/>
  <c r="K67" i="72"/>
  <c r="N21" i="64"/>
  <c r="I40" i="86"/>
  <c r="N23" i="75"/>
  <c r="E34" i="46"/>
  <c r="K59" i="62"/>
  <c r="J92" i="81"/>
  <c r="N56" i="36"/>
  <c r="N73" i="33"/>
  <c r="I41" i="30"/>
  <c r="F6" i="38"/>
  <c r="O65" i="58"/>
  <c r="G49" i="82"/>
  <c r="M23" i="48"/>
  <c r="H43" i="57"/>
  <c r="F100" i="65"/>
  <c r="M65" i="66"/>
  <c r="L103" i="47"/>
  <c r="G32" i="53"/>
  <c r="I14" i="44"/>
  <c r="J31" i="39"/>
  <c r="H51" i="87"/>
  <c r="J104" i="74"/>
  <c r="G74" i="87"/>
  <c r="G45" i="41"/>
  <c r="D21" i="47"/>
  <c r="H41" i="48"/>
  <c r="K37" i="57"/>
  <c r="N98" i="74"/>
  <c r="O43" i="44"/>
  <c r="D68" i="86"/>
  <c r="E62" i="81"/>
  <c r="O107" i="59"/>
  <c r="F24" i="41"/>
  <c r="K30" i="70"/>
  <c r="J80" i="40"/>
  <c r="N38" i="60"/>
  <c r="F55" i="78"/>
  <c r="M22" i="49"/>
  <c r="G28" i="54"/>
  <c r="O89" i="75"/>
  <c r="L58" i="51"/>
  <c r="G85" i="47"/>
  <c r="M57" i="82"/>
  <c r="I65" i="76"/>
  <c r="O52" i="54"/>
  <c r="O39" i="76"/>
  <c r="M82" i="26"/>
  <c r="M17" i="71"/>
  <c r="K35" i="32"/>
  <c r="H103" i="79"/>
  <c r="L55" i="69"/>
  <c r="G83" i="94"/>
  <c r="L38" i="86"/>
  <c r="D11" i="89"/>
  <c r="L71" i="72"/>
  <c r="N18" i="30"/>
  <c r="I91" i="25"/>
  <c r="N36" i="77"/>
  <c r="K21" i="93"/>
  <c r="F101" i="63"/>
  <c r="G91" i="38"/>
  <c r="G101" i="39"/>
  <c r="K45" i="91"/>
  <c r="H94" i="84"/>
  <c r="H85" i="38"/>
  <c r="E56" i="42"/>
  <c r="F34" i="33"/>
  <c r="O27" i="19"/>
  <c r="I92" i="76"/>
  <c r="J11" i="60"/>
  <c r="K106" i="90"/>
  <c r="I58" i="57"/>
  <c r="F56" i="90"/>
  <c r="O38" i="86"/>
  <c r="E97" i="78"/>
  <c r="D13" i="56"/>
  <c r="M47" i="40"/>
  <c r="K97" i="62"/>
  <c r="F101" i="79"/>
  <c r="I79" i="92"/>
  <c r="O94" i="62"/>
  <c r="M46" i="39"/>
  <c r="K33" i="86"/>
  <c r="F100" i="44"/>
  <c r="O27" i="73"/>
  <c r="I43" i="45"/>
  <c r="I101" i="94"/>
  <c r="M17" i="19"/>
  <c r="M103" i="76"/>
  <c r="G45" i="33"/>
  <c r="H51" i="63"/>
  <c r="I41" i="86"/>
  <c r="I95" i="91"/>
  <c r="G45" i="71"/>
  <c r="F5" i="67"/>
  <c r="I80" i="38"/>
  <c r="I50" i="29"/>
  <c r="M18" i="45"/>
  <c r="I73" i="36"/>
  <c r="F6" i="86"/>
  <c r="D15" i="75"/>
  <c r="K56" i="36"/>
  <c r="N94" i="69"/>
  <c r="K43" i="33"/>
  <c r="E53" i="63"/>
  <c r="J6" i="69"/>
  <c r="L106" i="34"/>
  <c r="K43" i="40"/>
  <c r="E31" i="58"/>
  <c r="F36" i="60"/>
  <c r="M92" i="49"/>
  <c r="N47" i="34"/>
  <c r="F21" i="51"/>
  <c r="I85" i="85"/>
  <c r="M33" i="54"/>
  <c r="D88" i="94"/>
  <c r="F83" i="65"/>
  <c r="J32" i="47"/>
  <c r="F88" i="78"/>
  <c r="J30" i="41"/>
  <c r="G103" i="84"/>
  <c r="O89" i="82"/>
  <c r="E70" i="53"/>
  <c r="O11" i="71"/>
  <c r="J98" i="48"/>
  <c r="H24" i="67"/>
  <c r="L97" i="30"/>
  <c r="E42" i="41"/>
  <c r="N82" i="39"/>
  <c r="G52" i="50"/>
  <c r="K49" i="57"/>
  <c r="E22" i="54"/>
  <c r="K23" i="46"/>
  <c r="F57" i="60"/>
  <c r="M100" i="77"/>
  <c r="D5" i="39"/>
  <c r="O79" i="82"/>
  <c r="O15" i="34"/>
  <c r="E54" i="80"/>
  <c r="J30" i="70"/>
  <c r="H94" i="44"/>
  <c r="E67" i="68"/>
  <c r="I56" i="93"/>
  <c r="K55" i="90"/>
  <c r="I101" i="44"/>
  <c r="H85" i="25"/>
  <c r="J7" i="76"/>
  <c r="K53" i="92"/>
  <c r="O61" i="27"/>
  <c r="M43" i="33"/>
  <c r="M54" i="92"/>
  <c r="K37" i="82"/>
  <c r="M85" i="69"/>
  <c r="M15" i="82"/>
  <c r="E95" i="67"/>
  <c r="N98" i="51"/>
  <c r="H28" i="89"/>
  <c r="D15" i="73"/>
  <c r="H37" i="92"/>
  <c r="H7" i="55"/>
  <c r="E14" i="66"/>
  <c r="D50" i="89"/>
  <c r="O80" i="91"/>
  <c r="F86" i="68"/>
  <c r="L6" i="72"/>
  <c r="E71" i="78"/>
  <c r="E49" i="59"/>
  <c r="G22"/>
  <c r="H18" i="53"/>
  <c r="F14" i="79"/>
  <c r="N27" i="43"/>
  <c r="N30" i="54"/>
  <c r="H14" i="92"/>
  <c r="L106" i="55"/>
  <c r="L14" i="74"/>
  <c r="L29" i="33"/>
  <c r="F83" i="69"/>
  <c r="N47" i="51"/>
  <c r="I92" i="25"/>
  <c r="J39" i="34"/>
  <c r="L79" i="76"/>
  <c r="J29" i="81"/>
  <c r="L101" i="36"/>
  <c r="K5" i="80"/>
  <c r="E68" i="25"/>
  <c r="L74" i="93"/>
  <c r="F5" i="65"/>
  <c r="J101" i="63"/>
  <c r="K100" i="43"/>
  <c r="G12" i="63"/>
  <c r="E25" i="25"/>
  <c r="N7" i="30"/>
  <c r="J57" i="72"/>
  <c r="J26"/>
  <c r="H24" i="51"/>
  <c r="M13" i="57"/>
  <c r="N103" i="46"/>
  <c r="H67" i="41"/>
  <c r="I25" i="34"/>
  <c r="O56" i="65"/>
  <c r="L46" i="64"/>
  <c r="O32" i="74"/>
  <c r="H48" i="83"/>
  <c r="J5" i="26"/>
  <c r="G79" i="44"/>
  <c r="O71" i="69"/>
  <c r="M58" i="48"/>
  <c r="O106" i="43"/>
  <c r="G71" i="89"/>
  <c r="E25" i="62"/>
  <c r="L101" i="56"/>
  <c r="J83" i="76"/>
  <c r="K65" i="53"/>
  <c r="I97" i="87"/>
  <c r="L18" i="71"/>
  <c r="I22" i="80"/>
  <c r="K27" i="71"/>
  <c r="J22" i="19"/>
  <c r="G33" i="44"/>
  <c r="O15" i="86"/>
  <c r="O71" i="56"/>
  <c r="K79" i="65"/>
  <c r="H51" i="93"/>
  <c r="H101" i="71"/>
  <c r="J46" i="81"/>
  <c r="E56" i="72"/>
  <c r="O86" i="71"/>
  <c r="I43" i="33"/>
  <c r="K62" i="80"/>
  <c r="K44" i="74"/>
  <c r="J25" i="48"/>
  <c r="J49" i="82"/>
  <c r="O58" i="56"/>
  <c r="K43" i="43"/>
  <c r="E100" i="29"/>
  <c r="I57" i="44"/>
  <c r="L64" i="25"/>
  <c r="N10" i="65"/>
  <c r="F71" i="53"/>
  <c r="H85" i="39"/>
  <c r="O65" i="86"/>
  <c r="I59" i="90"/>
  <c r="L32" i="70"/>
  <c r="H56" i="84"/>
  <c r="H56" i="57"/>
  <c r="D98" i="33"/>
  <c r="F91" i="54"/>
  <c r="F61" i="39"/>
  <c r="E95" i="85"/>
  <c r="H85" i="65"/>
  <c r="L40" i="92"/>
  <c r="D52"/>
  <c r="J85" i="26"/>
  <c r="J24" i="63"/>
  <c r="D94" i="78"/>
  <c r="L51" i="33"/>
  <c r="E30" i="47"/>
  <c r="K39" i="66"/>
  <c r="D39" i="77"/>
  <c r="G14" i="70"/>
  <c r="K107" i="67"/>
  <c r="L71" i="91"/>
  <c r="L86" i="58"/>
  <c r="H62" i="39"/>
  <c r="L41" i="62"/>
  <c r="F14" i="44"/>
  <c r="D47" i="36"/>
  <c r="O59" i="39"/>
  <c r="O8" i="74"/>
  <c r="D45" i="63"/>
  <c r="H38" i="71"/>
  <c r="M82" i="87"/>
  <c r="G35" i="74"/>
  <c r="L61" i="54"/>
  <c r="M31" i="33"/>
  <c r="E92" i="25"/>
  <c r="I59" i="83"/>
  <c r="M50" i="54"/>
  <c r="K100" i="70"/>
  <c r="D21" i="85"/>
  <c r="D68" i="63"/>
  <c r="M89" i="86"/>
  <c r="I55" i="38"/>
  <c r="F16" i="19"/>
  <c r="L32" i="34"/>
  <c r="L7" i="62"/>
  <c r="E43" i="65"/>
  <c r="J70" i="50"/>
  <c r="L53" i="51"/>
  <c r="K16" i="46"/>
  <c r="G4" i="52"/>
  <c r="I57" i="51"/>
  <c r="F53" i="59"/>
  <c r="L95" i="80"/>
  <c r="G107" i="29"/>
  <c r="I92" i="72"/>
  <c r="O46" i="73"/>
  <c r="J11" i="75"/>
  <c r="H10" i="40"/>
  <c r="M68" i="62"/>
  <c r="J26" i="34"/>
  <c r="D83" i="89"/>
  <c r="L82" i="71"/>
  <c r="F24" i="27"/>
  <c r="K35" i="89"/>
  <c r="O53" i="67"/>
  <c r="N53" i="45"/>
  <c r="M40" i="61"/>
  <c r="E70" i="52"/>
  <c r="J49" i="58"/>
  <c r="G89" i="75"/>
  <c r="H95" i="82"/>
  <c r="G55" i="26"/>
  <c r="I56" i="62"/>
  <c r="K59" i="44"/>
  <c r="G21" i="41"/>
  <c r="O73" i="80"/>
  <c r="D83"/>
  <c r="J17" i="74"/>
  <c r="F38" i="27"/>
  <c r="F17" i="54"/>
  <c r="N64" i="76"/>
  <c r="M71" i="90"/>
  <c r="D31" i="36"/>
  <c r="N61" i="38"/>
  <c r="E55" i="81"/>
  <c r="O5" i="62"/>
  <c r="O92" i="60"/>
  <c r="J92" i="47"/>
  <c r="I85" i="27"/>
  <c r="E11" i="90"/>
  <c r="J85" i="47"/>
  <c r="D55" i="32"/>
  <c r="F74" i="56"/>
  <c r="G71" i="19"/>
  <c r="H67" i="42"/>
  <c r="D62" i="66"/>
  <c r="H58"/>
  <c r="I88" i="53"/>
  <c r="E37"/>
  <c r="O67" i="34"/>
  <c r="E37" i="45"/>
  <c r="O56" i="36"/>
  <c r="H40" i="67"/>
  <c r="H97" i="36"/>
  <c r="G85" i="61"/>
  <c r="F46" i="46"/>
  <c r="H7" i="70"/>
  <c r="O27" i="75"/>
  <c r="D14" i="78"/>
  <c r="L10" i="48"/>
  <c r="J67" i="54"/>
  <c r="L30" i="94"/>
  <c r="J77" i="50"/>
  <c r="L67" i="70"/>
  <c r="E64" i="81"/>
  <c r="F13" i="41"/>
  <c r="D47" i="63"/>
  <c r="O14" i="19"/>
  <c r="H77" i="94"/>
  <c r="I43" i="41"/>
  <c r="O86" i="78"/>
  <c r="O52" i="57"/>
  <c r="J7" i="83"/>
  <c r="G19" i="82"/>
  <c r="G59" i="55"/>
  <c r="E44" i="64"/>
  <c r="J91" i="91"/>
  <c r="E73" i="61"/>
  <c r="D7" i="43"/>
  <c r="O15" i="94"/>
  <c r="H74" i="83"/>
  <c r="G38" i="93"/>
  <c r="N26" i="47"/>
  <c r="N12" i="81"/>
  <c r="L25" i="65"/>
  <c r="O27" i="64"/>
  <c r="F74" i="34"/>
  <c r="L11" i="54"/>
  <c r="M83" i="48"/>
  <c r="D67" i="19"/>
  <c r="F19" i="52"/>
  <c r="F51" i="85"/>
  <c r="G50" i="36"/>
  <c r="H55" i="84"/>
  <c r="E40" i="81"/>
  <c r="F33" i="45"/>
  <c r="L28" i="73"/>
  <c r="L107" i="57"/>
  <c r="L97" i="71"/>
  <c r="M86" i="80"/>
  <c r="F41" i="29"/>
  <c r="D39" i="46"/>
  <c r="I91" i="51"/>
  <c r="F59" i="36"/>
  <c r="J74" i="78"/>
  <c r="H89" i="69"/>
  <c r="L44" i="34"/>
  <c r="O41" i="29"/>
  <c r="I4" i="67"/>
  <c r="G68" i="78"/>
  <c r="M101" i="49"/>
  <c r="K49" i="63"/>
  <c r="M97" i="80"/>
  <c r="D50" i="36"/>
  <c r="O44" i="73"/>
  <c r="F62" i="83"/>
  <c r="H12" i="64"/>
  <c r="I36" i="36"/>
  <c r="L28" i="68"/>
  <c r="D38" i="62"/>
  <c r="E100" i="48"/>
  <c r="F37" i="70"/>
  <c r="M88" i="80"/>
  <c r="K94" i="33"/>
  <c r="O107" i="34"/>
  <c r="E50" i="38"/>
  <c r="M38" i="55"/>
  <c r="N14" i="38"/>
  <c r="L9" i="82"/>
  <c r="E14" i="54"/>
  <c r="D23" i="30"/>
  <c r="I5" i="79"/>
  <c r="K61" i="55"/>
  <c r="J24" i="56"/>
  <c r="G106" i="83"/>
  <c r="G103" i="93"/>
  <c r="L10" i="59"/>
  <c r="M104" i="38"/>
  <c r="H77" i="75"/>
  <c r="L91" i="87"/>
  <c r="O24" i="47"/>
  <c r="H95" i="41"/>
  <c r="G82" i="91"/>
  <c r="O38" i="76"/>
  <c r="L25" i="48"/>
  <c r="N51" i="53"/>
  <c r="J57" i="74"/>
  <c r="D79" i="60"/>
  <c r="D56" i="43"/>
  <c r="D18" i="25"/>
  <c r="J37" i="30"/>
  <c r="M24" i="75"/>
  <c r="J59" i="57"/>
  <c r="D40" i="78"/>
  <c r="H48" i="26"/>
  <c r="I106" i="92"/>
  <c r="J29" i="43"/>
  <c r="H40" i="41"/>
  <c r="O49" i="54"/>
  <c r="H56" i="45"/>
  <c r="D82" i="62"/>
  <c r="K44" i="73"/>
  <c r="I36" i="42"/>
  <c r="G76" i="58"/>
  <c r="J40" i="74"/>
  <c r="D92" i="87"/>
  <c r="M57" i="32"/>
  <c r="N26" i="68"/>
  <c r="L28" i="45"/>
  <c r="L18" i="34"/>
  <c r="M32" i="78"/>
  <c r="K12" i="34"/>
  <c r="K50" i="33"/>
  <c r="N7" i="44"/>
  <c r="H70" i="43"/>
  <c r="O101" i="60"/>
  <c r="F59" i="69"/>
  <c r="M101" i="47"/>
  <c r="F71" i="73"/>
  <c r="K64" i="34"/>
  <c r="F11" i="48"/>
  <c r="G77" i="93"/>
  <c r="H77" i="65"/>
  <c r="K14" i="29"/>
  <c r="D71" i="60"/>
  <c r="D23" i="69"/>
  <c r="K13" i="48"/>
  <c r="K24" i="40"/>
  <c r="F48" i="58"/>
  <c r="F47" i="93"/>
  <c r="D80" i="83"/>
  <c r="N52" i="59"/>
  <c r="L38" i="29"/>
  <c r="M28" i="41"/>
  <c r="K32" i="81"/>
  <c r="O52" i="32"/>
  <c r="M94" i="34"/>
  <c r="H77" i="29"/>
  <c r="J67" i="80"/>
  <c r="O68" i="87"/>
  <c r="D89" i="54"/>
  <c r="L45" i="34"/>
  <c r="I70" i="74"/>
  <c r="M4" i="80"/>
  <c r="M53" i="86"/>
  <c r="J77" i="51"/>
  <c r="J43" i="68"/>
  <c r="H89" i="58"/>
  <c r="O28" i="87"/>
  <c r="L5" i="72"/>
  <c r="O62" i="48"/>
  <c r="I88" i="36"/>
  <c r="H85" i="63"/>
  <c r="O25" i="47"/>
  <c r="L91" i="51"/>
  <c r="K64" i="66"/>
  <c r="D35" i="89"/>
  <c r="K24" i="46"/>
  <c r="K14"/>
  <c r="E88" i="41"/>
  <c r="H59" i="84"/>
  <c r="L28" i="91"/>
  <c r="I35" i="82"/>
  <c r="K106" i="53"/>
  <c r="L25" i="78"/>
  <c r="F83" i="40"/>
  <c r="N21" i="45"/>
  <c r="J14" i="39"/>
  <c r="D24" i="70"/>
  <c r="H40" i="59"/>
  <c r="L11" i="87"/>
  <c r="L40" i="76"/>
  <c r="G55" i="90"/>
  <c r="M94" i="48"/>
  <c r="L43" i="62"/>
  <c r="N22" i="33"/>
  <c r="K54" i="38"/>
  <c r="G79" i="25"/>
  <c r="N92" i="84"/>
  <c r="L42" i="33"/>
  <c r="E21" i="27"/>
  <c r="I45" i="83"/>
  <c r="O23"/>
  <c r="H4" i="32"/>
  <c r="J40" i="51"/>
  <c r="J58" i="78"/>
  <c r="K100" i="53"/>
  <c r="L95" i="60"/>
  <c r="K70" i="35"/>
  <c r="G47" i="38"/>
  <c r="F73" i="56"/>
  <c r="O97" i="71"/>
  <c r="J31" i="93"/>
  <c r="K103" i="58"/>
  <c r="O55" i="34"/>
  <c r="E36" i="93"/>
  <c r="J62" i="60"/>
  <c r="M98" i="76"/>
  <c r="D74" i="82"/>
  <c r="H57" i="29"/>
  <c r="F25" i="39"/>
  <c r="E14" i="62"/>
  <c r="J67" i="83"/>
  <c r="I50" i="67"/>
  <c r="K31" i="66"/>
  <c r="O59" i="40"/>
  <c r="G103" i="27"/>
  <c r="O44" i="41"/>
  <c r="H100" i="19"/>
  <c r="M107" i="33"/>
  <c r="N30" i="49"/>
  <c r="M17" i="64"/>
  <c r="I47" i="72"/>
  <c r="L67" i="49"/>
  <c r="J64" i="47"/>
  <c r="G98" i="89"/>
  <c r="F47" i="92"/>
  <c r="D13" i="53"/>
  <c r="O54" i="78"/>
  <c r="I29" i="44"/>
  <c r="O45" i="40"/>
  <c r="J68" i="77"/>
  <c r="K30" i="30"/>
  <c r="F94" i="27"/>
  <c r="M34" i="69"/>
  <c r="L47" i="65"/>
  <c r="D48" i="40"/>
  <c r="F21" i="84"/>
  <c r="I16" i="76"/>
  <c r="M58" i="63"/>
  <c r="F64" i="83"/>
  <c r="F53" i="53"/>
  <c r="N92" i="94"/>
  <c r="O21" i="49"/>
  <c r="F57" i="51"/>
  <c r="N27" i="27"/>
  <c r="G89" i="84"/>
  <c r="H51" i="83"/>
  <c r="I54" i="82"/>
  <c r="G70" i="29"/>
  <c r="O14" i="93"/>
  <c r="F37" i="86"/>
  <c r="G7" i="91"/>
  <c r="E31" i="50"/>
  <c r="D22" i="80"/>
  <c r="K45" i="93"/>
  <c r="H68" i="84"/>
  <c r="M36" i="25"/>
  <c r="H14" i="74"/>
  <c r="N55" i="83"/>
  <c r="N104" i="43"/>
  <c r="N85" i="54"/>
  <c r="K47" i="61"/>
  <c r="K31" i="77"/>
  <c r="F45" i="67"/>
  <c r="K16" i="63"/>
  <c r="F51" i="65"/>
  <c r="K54" i="25"/>
  <c r="O89" i="44"/>
  <c r="I19" i="55"/>
  <c r="L46" i="36"/>
  <c r="E65" i="83"/>
  <c r="D57" i="51"/>
  <c r="N15" i="67"/>
  <c r="J8" i="93"/>
  <c r="O9" i="68"/>
  <c r="M106" i="26"/>
  <c r="G14" i="57"/>
  <c r="D23" i="35"/>
  <c r="D76" i="46"/>
  <c r="F45" i="36"/>
  <c r="E101" i="91"/>
  <c r="E95" i="60"/>
  <c r="E107" i="43"/>
  <c r="I13" i="30"/>
  <c r="M59" i="43"/>
  <c r="G15" i="57"/>
  <c r="G107" i="61"/>
  <c r="O17" i="70"/>
  <c r="K107" i="89"/>
  <c r="H67" i="30"/>
  <c r="D19" i="49"/>
  <c r="G44" i="76"/>
  <c r="E32" i="32"/>
  <c r="K74" i="34"/>
  <c r="E80" i="81"/>
  <c r="N97" i="41"/>
  <c r="M38" i="71"/>
  <c r="H18" i="86"/>
  <c r="D77" i="30"/>
  <c r="O106" i="82"/>
  <c r="H106" i="48"/>
  <c r="H51" i="76"/>
  <c r="M33" i="19"/>
  <c r="H30" i="82"/>
  <c r="L94" i="27"/>
  <c r="D101" i="93"/>
  <c r="N97" i="81"/>
  <c r="H7" i="90"/>
  <c r="G19" i="81"/>
  <c r="H101" i="49"/>
  <c r="K101" i="56"/>
  <c r="E37" i="82"/>
  <c r="M28" i="38"/>
  <c r="I26" i="49"/>
  <c r="K27" i="86"/>
  <c r="I94" i="85"/>
  <c r="L10" i="55"/>
  <c r="N71" i="54"/>
  <c r="E38" i="46"/>
  <c r="H83" i="58"/>
  <c r="O71" i="68"/>
  <c r="H36" i="62"/>
  <c r="H67" i="53"/>
  <c r="D30" i="75"/>
  <c r="F6" i="39"/>
  <c r="D4" i="49"/>
  <c r="K45" i="78"/>
  <c r="J68" i="43"/>
  <c r="D50" i="73"/>
  <c r="J24" i="45"/>
  <c r="N89" i="35"/>
  <c r="I36" i="54"/>
  <c r="I94" i="89"/>
  <c r="O12" i="81"/>
  <c r="H36" i="48"/>
  <c r="G52" i="77"/>
  <c r="J50" i="89"/>
  <c r="H24" i="84"/>
  <c r="H20" i="81"/>
  <c r="L39" i="73"/>
  <c r="F83" i="81"/>
  <c r="M11" i="45"/>
  <c r="D47" i="48"/>
  <c r="J46" i="83"/>
  <c r="I6" i="27"/>
  <c r="J17" i="81"/>
  <c r="L42" i="25"/>
  <c r="L106" i="33"/>
  <c r="E22" i="56"/>
  <c r="H18" i="59"/>
  <c r="N27" i="69"/>
  <c r="J37" i="83"/>
  <c r="L71" i="47"/>
  <c r="M26" i="72"/>
  <c r="F65" i="73"/>
  <c r="H58"/>
  <c r="E5" i="47"/>
  <c r="F8" i="69"/>
  <c r="I103" i="67"/>
  <c r="K101" i="78"/>
  <c r="I97" i="71"/>
  <c r="I14" i="75"/>
  <c r="I94" i="59"/>
  <c r="H49" i="58"/>
  <c r="H86"/>
  <c r="J28" i="33"/>
  <c r="H50" i="63"/>
  <c r="J98" i="82"/>
  <c r="O88" i="48"/>
  <c r="O35" i="51"/>
  <c r="E21" i="75"/>
  <c r="E41" i="29"/>
  <c r="H52" i="57"/>
  <c r="G27" i="61"/>
  <c r="I54" i="91"/>
  <c r="G4" i="84"/>
  <c r="M82" i="64"/>
  <c r="J46" i="65"/>
  <c r="I45" i="35"/>
  <c r="M107" i="62"/>
  <c r="J100" i="47"/>
  <c r="M33" i="89"/>
  <c r="F8" i="39"/>
  <c r="G48" i="34"/>
  <c r="H49" i="69"/>
  <c r="O24" i="51"/>
  <c r="D85" i="67"/>
  <c r="L80" i="25"/>
  <c r="F62" i="32"/>
  <c r="I80" i="66"/>
  <c r="E41" i="38"/>
  <c r="D5" i="89"/>
  <c r="N103" i="56"/>
  <c r="K45" i="76"/>
  <c r="I107" i="33"/>
  <c r="N80" i="76"/>
  <c r="L36" i="65"/>
  <c r="N16" i="44"/>
  <c r="H11" i="89"/>
  <c r="H30" i="83"/>
  <c r="F4" i="78"/>
  <c r="O58" i="45"/>
  <c r="M24" i="33"/>
  <c r="H68" i="53"/>
  <c r="J5" i="41"/>
  <c r="F104" i="34"/>
  <c r="F53" i="33"/>
  <c r="N43" i="55"/>
  <c r="H107" i="82"/>
  <c r="J53" i="86"/>
  <c r="L86" i="60"/>
  <c r="F106" i="38"/>
  <c r="H65" i="91"/>
  <c r="D97" i="47"/>
  <c r="G40" i="59"/>
  <c r="J4" i="91"/>
  <c r="D44" i="46"/>
  <c r="F83" i="90"/>
  <c r="H52" i="32"/>
  <c r="N44" i="38"/>
  <c r="I58" i="41"/>
  <c r="N56"/>
  <c r="L98" i="72"/>
  <c r="D4" i="58"/>
  <c r="K20" i="84"/>
  <c r="G33" i="19"/>
  <c r="O79" i="59"/>
  <c r="L10" i="47"/>
  <c r="J100" i="46"/>
  <c r="E52" i="87"/>
  <c r="D8" i="89"/>
  <c r="M47" i="55"/>
  <c r="E32" i="27"/>
  <c r="J42" i="30"/>
  <c r="E62" i="84"/>
  <c r="K13" i="19"/>
  <c r="J51" i="91"/>
  <c r="G97" i="49"/>
  <c r="O76" i="57"/>
  <c r="L10" i="67"/>
  <c r="O103" i="70"/>
  <c r="I16" i="51"/>
  <c r="L39" i="57"/>
  <c r="L24" i="48"/>
  <c r="H27" i="73"/>
  <c r="G28" i="43"/>
  <c r="I32" i="79"/>
  <c r="H104" i="80"/>
  <c r="L82" i="27"/>
  <c r="F85" i="34"/>
  <c r="E23" i="78"/>
  <c r="J37" i="81"/>
  <c r="H83" i="50"/>
  <c r="M16" i="61"/>
  <c r="I85" i="70"/>
  <c r="M16" i="87"/>
  <c r="M18" i="60"/>
  <c r="I37" i="69"/>
  <c r="E95" i="30"/>
  <c r="O83" i="73"/>
  <c r="N79" i="44"/>
  <c r="I67" i="47"/>
  <c r="I51" i="85"/>
  <c r="I33" i="48"/>
  <c r="H17" i="30"/>
  <c r="E32" i="87"/>
  <c r="E14" i="57"/>
  <c r="M8" i="62"/>
  <c r="I76" i="40"/>
  <c r="O22" i="60"/>
  <c r="J100" i="59"/>
  <c r="L53" i="25"/>
  <c r="M79" i="41"/>
  <c r="N59" i="87"/>
  <c r="G33" i="35"/>
  <c r="L5" i="82"/>
  <c r="G52" i="75"/>
  <c r="E34" i="78"/>
  <c r="L73" i="38"/>
  <c r="G45" i="58"/>
  <c r="K71" i="53"/>
  <c r="N29" i="33"/>
  <c r="J65" i="25"/>
  <c r="N11" i="44"/>
  <c r="G28" i="93"/>
  <c r="L74" i="73"/>
  <c r="E48" i="60"/>
  <c r="E100" i="81"/>
  <c r="O59" i="77"/>
  <c r="I6" i="67"/>
  <c r="N14" i="43"/>
  <c r="N86" i="36"/>
  <c r="N62" i="91"/>
  <c r="J83" i="77"/>
  <c r="N59" i="60"/>
  <c r="D7" i="49"/>
  <c r="O80" i="92"/>
  <c r="F31" i="39"/>
  <c r="E21" i="58"/>
  <c r="O17" i="77"/>
  <c r="I40" i="64"/>
  <c r="O5" i="48"/>
  <c r="K59" i="27"/>
  <c r="D22" i="65"/>
  <c r="L20" i="58"/>
  <c r="N45" i="77"/>
  <c r="M94" i="19"/>
  <c r="F70" i="80"/>
  <c r="I9" i="74"/>
  <c r="K13" i="73"/>
  <c r="N97" i="91"/>
  <c r="H49" i="56"/>
  <c r="D14" i="40"/>
  <c r="E9" i="52"/>
  <c r="K62" i="30"/>
  <c r="L61" i="62"/>
  <c r="M71" i="75"/>
  <c r="F35" i="79"/>
  <c r="L50" i="63"/>
  <c r="K27" i="27"/>
  <c r="F22" i="34"/>
  <c r="N101" i="44"/>
  <c r="G44" i="40"/>
  <c r="L19" i="76"/>
  <c r="I45" i="74"/>
  <c r="N45" i="51"/>
  <c r="D19" i="58"/>
  <c r="L57" i="36"/>
  <c r="F68" i="91"/>
  <c r="K22" i="74"/>
  <c r="J8" i="44"/>
  <c r="M36" i="55"/>
  <c r="G6" i="86"/>
  <c r="M46"/>
  <c r="K16" i="66"/>
  <c r="L18" i="81"/>
  <c r="N83" i="64"/>
  <c r="O29" i="47"/>
  <c r="N92" i="72"/>
  <c r="N9" i="81"/>
  <c r="H12" i="79"/>
  <c r="K98" i="55"/>
  <c r="O107" i="75"/>
  <c r="D85" i="77"/>
  <c r="J61" i="69"/>
  <c r="M9" i="84"/>
  <c r="G79" i="38"/>
  <c r="K52" i="69"/>
  <c r="I80" i="72"/>
  <c r="N36" i="59"/>
  <c r="L56" i="75"/>
  <c r="H104"/>
  <c r="J70" i="33"/>
  <c r="D48" i="84"/>
  <c r="N32" i="48"/>
  <c r="J76" i="82"/>
  <c r="O30" i="80"/>
  <c r="E103" i="83"/>
  <c r="H21" i="50"/>
  <c r="G23" i="62"/>
  <c r="K23" i="70"/>
  <c r="L20" i="53"/>
  <c r="H35" i="32"/>
  <c r="M59" i="26"/>
  <c r="D51" i="33"/>
  <c r="L61" i="48"/>
  <c r="O34" i="40"/>
  <c r="I64" i="54"/>
  <c r="E9" i="73"/>
  <c r="E61" i="47"/>
  <c r="O94" i="45"/>
  <c r="D5" i="53"/>
  <c r="K106" i="76"/>
  <c r="F85"/>
  <c r="E82" i="61"/>
  <c r="I104" i="89"/>
  <c r="D94" i="30"/>
  <c r="G39" i="49"/>
  <c r="I106" i="41"/>
  <c r="I30" i="81"/>
  <c r="F7" i="83"/>
  <c r="E76" i="33"/>
  <c r="F22" i="47"/>
  <c r="O44" i="83"/>
  <c r="O100" i="73"/>
  <c r="D101" i="57"/>
  <c r="J77" i="68"/>
  <c r="N5" i="69"/>
  <c r="J45" i="79"/>
  <c r="E11" i="72"/>
  <c r="E79" i="44"/>
  <c r="M58" i="46"/>
  <c r="L19" i="62"/>
  <c r="D104" i="50"/>
  <c r="K44" i="61"/>
  <c r="M36" i="19"/>
  <c r="H86" i="55"/>
  <c r="M4" i="70"/>
  <c r="D20" i="58"/>
  <c r="O51" i="69"/>
  <c r="F71" i="19"/>
  <c r="N82" i="60"/>
  <c r="F25" i="46"/>
  <c r="F83" i="48"/>
  <c r="M82"/>
  <c r="K76" i="45"/>
  <c r="H68" i="59"/>
  <c r="D8" i="75"/>
  <c r="I106" i="59"/>
  <c r="G37" i="47"/>
  <c r="F13" i="90"/>
  <c r="J35" i="73"/>
  <c r="F68" i="75"/>
  <c r="E91" i="34"/>
  <c r="E37" i="67"/>
  <c r="H5" i="47"/>
  <c r="I29" i="55"/>
  <c r="G92" i="46"/>
  <c r="N9" i="36"/>
  <c r="O42" i="93"/>
  <c r="M51" i="30"/>
  <c r="N26" i="76"/>
  <c r="E9" i="82"/>
  <c r="L15" i="66"/>
  <c r="I91" i="35"/>
  <c r="I71"/>
  <c r="D57" i="80"/>
  <c r="F46" i="81"/>
  <c r="N5" i="56"/>
  <c r="K28" i="39"/>
  <c r="D85" i="25"/>
  <c r="I80" i="54"/>
  <c r="G52" i="51"/>
  <c r="J77" i="36"/>
  <c r="H77" i="71"/>
  <c r="O61" i="47"/>
  <c r="L23" i="54"/>
  <c r="I86" i="65"/>
  <c r="J91" i="32"/>
  <c r="F61" i="86"/>
  <c r="N37" i="87"/>
  <c r="E48" i="34"/>
  <c r="K36" i="92"/>
  <c r="N70" i="29"/>
  <c r="F21" i="74"/>
  <c r="J33" i="45"/>
  <c r="N85" i="89"/>
  <c r="E35" i="34"/>
  <c r="F29" i="30"/>
  <c r="H104" i="47"/>
  <c r="D79" i="83"/>
  <c r="L92" i="81"/>
  <c r="N44" i="86"/>
  <c r="G74" i="71"/>
  <c r="I24" i="68"/>
  <c r="I98" i="86"/>
  <c r="F54" i="85"/>
  <c r="O20" i="70"/>
  <c r="M26" i="51"/>
  <c r="M58" i="91"/>
  <c r="O39" i="63"/>
  <c r="K82" i="62"/>
  <c r="D35" i="51"/>
  <c r="L83" i="65"/>
  <c r="G5" i="73"/>
  <c r="N62" i="58"/>
  <c r="J82" i="86"/>
  <c r="I65" i="52"/>
  <c r="F67" i="36"/>
  <c r="K76" i="56"/>
  <c r="I41" i="41"/>
  <c r="F68" i="61"/>
  <c r="E86" i="57"/>
  <c r="D56" i="45"/>
  <c r="L17" i="40"/>
  <c r="M101" i="36"/>
  <c r="I64" i="50"/>
  <c r="I27" i="55"/>
  <c r="J77" i="64"/>
  <c r="F15" i="71"/>
  <c r="I31" i="75"/>
  <c r="J64" i="59"/>
  <c r="J57" i="92"/>
  <c r="H53" i="62"/>
  <c r="O35"/>
  <c r="F15" i="93"/>
  <c r="O55" i="80"/>
  <c r="N74" i="66"/>
  <c r="E68" i="30"/>
  <c r="O40" i="78"/>
  <c r="F45" i="92"/>
  <c r="M94" i="90"/>
  <c r="F65" i="83"/>
  <c r="M92" i="43"/>
  <c r="F10" i="57"/>
  <c r="J41" i="32"/>
  <c r="I9" i="86"/>
  <c r="I62" i="92"/>
  <c r="J22" i="76"/>
  <c r="L83" i="94"/>
  <c r="H10" i="71"/>
  <c r="E46" i="59"/>
  <c r="M37" i="29"/>
  <c r="E98" i="19"/>
  <c r="M7" i="51"/>
  <c r="D15" i="63"/>
  <c r="L67" i="94"/>
  <c r="E62" i="63"/>
  <c r="H49" i="70"/>
  <c r="N30" i="75"/>
  <c r="O14" i="76"/>
  <c r="H24" i="56"/>
  <c r="L57" i="60"/>
  <c r="L12" i="35"/>
  <c r="F95" i="45"/>
  <c r="K77"/>
  <c r="K103" i="19"/>
  <c r="H64" i="53"/>
  <c r="L91" i="92"/>
  <c r="G4" i="38"/>
  <c r="H49" i="68"/>
  <c r="H17" i="56"/>
  <c r="I106" i="66"/>
  <c r="E77" i="47"/>
  <c r="F82" i="64"/>
  <c r="E74" i="26"/>
  <c r="D4" i="75"/>
  <c r="O100" i="33"/>
  <c r="I44" i="45"/>
  <c r="O65"/>
  <c r="H62" i="83"/>
  <c r="J31" i="41"/>
  <c r="H59" i="91"/>
  <c r="F44" i="33"/>
  <c r="J22" i="73"/>
  <c r="M10" i="60"/>
  <c r="H15" i="80"/>
  <c r="F43" i="50"/>
  <c r="I36" i="55"/>
  <c r="G56" i="92"/>
  <c r="G86" i="66"/>
  <c r="G38" i="48"/>
  <c r="G18" i="79"/>
  <c r="M79" i="35"/>
  <c r="G43" i="29"/>
  <c r="E61" i="73"/>
  <c r="I83" i="33"/>
  <c r="K82" i="66"/>
  <c r="H22" i="84"/>
  <c r="G13" i="36"/>
  <c r="D62" i="35"/>
  <c r="I43" i="70"/>
  <c r="H38" i="53"/>
  <c r="G14" i="42"/>
  <c r="L35" i="90"/>
  <c r="F106" i="89"/>
  <c r="D94" i="53"/>
  <c r="L62" i="56"/>
  <c r="F25" i="79"/>
  <c r="H52" i="36"/>
  <c r="E71" i="79"/>
  <c r="J49" i="80"/>
  <c r="D31" i="71"/>
  <c r="H23" i="49"/>
  <c r="L56" i="69"/>
  <c r="J100" i="76"/>
  <c r="M32" i="90"/>
  <c r="F49" i="54"/>
  <c r="L107" i="73"/>
  <c r="H52"/>
  <c r="O52" i="89"/>
  <c r="N100" i="64"/>
  <c r="L73" i="30"/>
  <c r="J70" i="39"/>
  <c r="K101"/>
  <c r="O83" i="29"/>
  <c r="O29" i="75"/>
  <c r="L25" i="76"/>
  <c r="G80" i="39"/>
  <c r="M65" i="57"/>
  <c r="F16" i="94"/>
  <c r="J37" i="80"/>
  <c r="I48" i="90"/>
  <c r="I57" i="48"/>
  <c r="K50" i="27"/>
  <c r="I56" i="46"/>
  <c r="G53" i="67"/>
  <c r="O29" i="84"/>
  <c r="J4" i="27"/>
  <c r="G41" i="62"/>
  <c r="I58" i="66"/>
  <c r="L25" i="59"/>
  <c r="F30" i="52"/>
  <c r="M6" i="54"/>
  <c r="N6" i="82"/>
  <c r="O42" i="64"/>
  <c r="N52" i="53"/>
  <c r="G89" i="67"/>
  <c r="I54" i="29"/>
  <c r="O22" i="54"/>
  <c r="K53" i="49"/>
  <c r="G64" i="70"/>
  <c r="O9" i="48"/>
  <c r="G19" i="70"/>
  <c r="H54"/>
  <c r="E5" i="56"/>
  <c r="L53" i="73"/>
  <c r="G17"/>
  <c r="G41" i="39"/>
  <c r="K89" i="70"/>
  <c r="N95" i="94"/>
  <c r="F50" i="93"/>
  <c r="E12" i="67"/>
  <c r="D104" i="45"/>
  <c r="D8" i="76"/>
  <c r="N30" i="94"/>
  <c r="J91" i="44"/>
  <c r="J12" i="80"/>
  <c r="M17" i="48"/>
  <c r="L107" i="49"/>
  <c r="K33" i="54"/>
  <c r="F57" i="89"/>
  <c r="H89" i="29"/>
  <c r="G29" i="72"/>
  <c r="E27" i="77"/>
  <c r="L76" i="41"/>
  <c r="M76" i="67"/>
  <c r="K6" i="63"/>
  <c r="F11" i="43"/>
  <c r="H76" i="94"/>
  <c r="E8" i="73"/>
  <c r="I42" i="54"/>
  <c r="N20" i="92"/>
  <c r="L39" i="38"/>
  <c r="E101" i="92"/>
  <c r="H54" i="78"/>
  <c r="J45" i="76"/>
  <c r="L83" i="75"/>
  <c r="O17" i="51"/>
  <c r="H17" i="83"/>
  <c r="N45" i="76"/>
  <c r="L17" i="34"/>
  <c r="O11" i="40"/>
  <c r="I14" i="30"/>
  <c r="E37" i="32"/>
  <c r="N35" i="34"/>
  <c r="D43" i="61"/>
  <c r="O12" i="49"/>
  <c r="D24" i="34"/>
  <c r="N36" i="55"/>
  <c r="F92" i="27"/>
  <c r="L51" i="89"/>
  <c r="J11" i="27"/>
  <c r="F42" i="35"/>
  <c r="I65" i="73"/>
  <c r="I101" i="69"/>
  <c r="G4" i="91"/>
  <c r="D16" i="39"/>
  <c r="L71" i="90"/>
  <c r="J47" i="89"/>
  <c r="F20" i="70"/>
  <c r="L8" i="60"/>
  <c r="M44" i="84"/>
  <c r="E70" i="54"/>
  <c r="L85" i="59"/>
  <c r="H18" i="52"/>
  <c r="D91" i="65"/>
  <c r="F103" i="53"/>
  <c r="L16" i="71"/>
  <c r="N9" i="41"/>
  <c r="L65" i="58"/>
  <c r="D50"/>
  <c r="G13" i="27"/>
  <c r="O24" i="87"/>
  <c r="H107" i="77"/>
  <c r="M94" i="53"/>
  <c r="E52" i="69"/>
  <c r="H77" i="34"/>
  <c r="G46" i="26"/>
  <c r="M86" i="33"/>
  <c r="N45" i="41"/>
  <c r="I107" i="51"/>
  <c r="J74" i="73"/>
  <c r="G26" i="26"/>
  <c r="J32" i="38"/>
  <c r="L77" i="62"/>
  <c r="G103" i="65"/>
  <c r="J45" i="50"/>
  <c r="I68" i="68"/>
  <c r="K8" i="40"/>
  <c r="O29" i="30"/>
  <c r="F17" i="80"/>
  <c r="H30" i="33"/>
  <c r="E45" i="64"/>
  <c r="L54" i="94"/>
  <c r="N107" i="40"/>
  <c r="N4" i="70"/>
  <c r="M85" i="47"/>
  <c r="O13" i="46"/>
  <c r="J47" i="70"/>
  <c r="J8" i="64"/>
  <c r="O98"/>
  <c r="H8" i="57"/>
  <c r="F77" i="27"/>
  <c r="N64" i="75"/>
  <c r="E94" i="57"/>
  <c r="F64" i="44"/>
  <c r="M39" i="39"/>
  <c r="N55" i="30"/>
  <c r="H36" i="52"/>
  <c r="I14" i="81"/>
  <c r="F20" i="90"/>
  <c r="L103" i="39"/>
  <c r="F44" i="43"/>
  <c r="F20" i="67"/>
  <c r="K22" i="38"/>
  <c r="H32" i="87"/>
  <c r="G95" i="34"/>
  <c r="G49" i="71"/>
  <c r="M8" i="64"/>
  <c r="K33" i="43"/>
  <c r="K10" i="78"/>
  <c r="J31" i="71"/>
  <c r="J100" i="40"/>
  <c r="M6" i="71"/>
  <c r="G62" i="66"/>
  <c r="J86" i="50"/>
  <c r="E21" i="34"/>
  <c r="E46" i="83"/>
  <c r="M22" i="74"/>
  <c r="H62" i="56"/>
  <c r="H16" i="75"/>
  <c r="N36" i="45"/>
  <c r="K40" i="26"/>
  <c r="O77" i="48"/>
  <c r="G19" i="79"/>
  <c r="E104" i="65"/>
  <c r="D88" i="47"/>
  <c r="F33" i="87"/>
  <c r="J68" i="82"/>
  <c r="I20" i="80"/>
  <c r="J101" i="93"/>
  <c r="N48" i="73"/>
  <c r="L21" i="45"/>
  <c r="M97" i="47"/>
  <c r="F11" i="52"/>
  <c r="H40" i="48"/>
  <c r="H25" i="27"/>
  <c r="E37" i="75"/>
  <c r="O51" i="78"/>
  <c r="M31" i="94"/>
  <c r="O30" i="57"/>
  <c r="O26" i="33"/>
  <c r="J46" i="55"/>
  <c r="D77" i="77"/>
  <c r="J41" i="70"/>
  <c r="E21" i="68"/>
  <c r="D53" i="70"/>
  <c r="L6" i="46"/>
  <c r="E34" i="36"/>
  <c r="E23" i="89"/>
  <c r="F86" i="47"/>
  <c r="D73" i="53"/>
  <c r="E82" i="75"/>
  <c r="N12" i="61"/>
  <c r="L27" i="90"/>
  <c r="J28" i="68"/>
  <c r="G20" i="69"/>
  <c r="M64" i="45"/>
  <c r="F41" i="52"/>
  <c r="F83" i="76"/>
  <c r="M7" i="80"/>
  <c r="M6" i="25"/>
  <c r="L34" i="26"/>
  <c r="J39" i="49"/>
  <c r="K44" i="63"/>
  <c r="J23" i="45"/>
  <c r="I70" i="62"/>
  <c r="D41" i="60"/>
  <c r="D19" i="87"/>
  <c r="N95" i="25"/>
  <c r="E13" i="87"/>
  <c r="M76" i="41"/>
  <c r="H98" i="27"/>
  <c r="J79" i="30"/>
  <c r="O36" i="51"/>
  <c r="M6" i="56"/>
  <c r="F15" i="87"/>
  <c r="H41" i="81"/>
  <c r="G58" i="61"/>
  <c r="L35" i="72"/>
  <c r="F8" i="60"/>
  <c r="H10" i="44"/>
  <c r="M83" i="58"/>
  <c r="L32" i="41"/>
  <c r="E26" i="73"/>
  <c r="N64" i="34"/>
  <c r="K51" i="36"/>
  <c r="I95" i="47"/>
  <c r="H104" i="84"/>
  <c r="D20" i="54"/>
  <c r="E76" i="50"/>
  <c r="E104" i="62"/>
  <c r="L76" i="68"/>
  <c r="M28" i="30"/>
  <c r="M91" i="51"/>
  <c r="L14" i="90"/>
  <c r="E67" i="27"/>
  <c r="G92" i="48"/>
  <c r="H40" i="42"/>
  <c r="K65" i="58"/>
  <c r="H43" i="35"/>
  <c r="G11" i="56"/>
  <c r="D11" i="80"/>
  <c r="F8" i="50"/>
  <c r="J10" i="56"/>
  <c r="O36" i="65"/>
  <c r="O53" i="75"/>
  <c r="F25" i="50"/>
  <c r="J83" i="39"/>
  <c r="M41" i="62"/>
  <c r="G107" i="32"/>
  <c r="N64" i="89"/>
  <c r="M86" i="63"/>
  <c r="J10" i="94"/>
  <c r="K55" i="78"/>
  <c r="J18" i="87"/>
  <c r="H39" i="70"/>
  <c r="I76" i="58"/>
  <c r="O18" i="44"/>
  <c r="F20" i="76"/>
  <c r="L86" i="39"/>
  <c r="L55" i="82"/>
  <c r="F107" i="56"/>
  <c r="D40" i="80"/>
  <c r="H53" i="87"/>
  <c r="L7" i="48"/>
  <c r="H103" i="70"/>
  <c r="I79" i="35"/>
  <c r="M67" i="83"/>
  <c r="O31" i="74"/>
  <c r="G54" i="49"/>
  <c r="G53" i="29"/>
  <c r="N70" i="56"/>
  <c r="H24" i="63"/>
  <c r="G86" i="77"/>
  <c r="O80" i="53"/>
  <c r="J27" i="54"/>
  <c r="J33" i="48"/>
  <c r="J54" i="38"/>
  <c r="G4" i="87"/>
  <c r="I73" i="26"/>
  <c r="L85" i="84"/>
  <c r="I19" i="74"/>
  <c r="O32" i="46"/>
  <c r="L11" i="93"/>
  <c r="N13" i="51"/>
  <c r="E94" i="41"/>
  <c r="O8" i="30"/>
  <c r="E4" i="42"/>
  <c r="G42" i="35"/>
  <c r="K9" i="72"/>
  <c r="G107" i="51"/>
  <c r="L39" i="56"/>
  <c r="M71" i="70"/>
  <c r="N86" i="49"/>
  <c r="M49" i="69"/>
  <c r="K16" i="55"/>
  <c r="G20" i="48"/>
  <c r="L62" i="32"/>
  <c r="I25" i="91"/>
  <c r="E50" i="84"/>
  <c r="F43" i="43"/>
  <c r="I11" i="89"/>
  <c r="K50" i="35"/>
  <c r="N46" i="74"/>
  <c r="K19" i="33"/>
  <c r="J25" i="59"/>
  <c r="D17" i="40"/>
  <c r="K40" i="94"/>
  <c r="K97" i="66"/>
  <c r="I98" i="39"/>
  <c r="M103" i="44"/>
  <c r="E50" i="58"/>
  <c r="M61" i="41"/>
  <c r="N83" i="58"/>
  <c r="E17" i="29"/>
  <c r="G16" i="34"/>
  <c r="I20" i="65"/>
  <c r="I35" i="68"/>
  <c r="G79" i="94"/>
  <c r="H12" i="25"/>
  <c r="G89" i="51"/>
  <c r="L47" i="55"/>
  <c r="K8" i="89"/>
  <c r="J46" i="90"/>
  <c r="H10" i="76"/>
  <c r="D103" i="49"/>
  <c r="D82" i="55"/>
  <c r="K15" i="51"/>
  <c r="I22" i="77"/>
  <c r="O77" i="73"/>
  <c r="I74" i="69"/>
  <c r="K77" i="81"/>
  <c r="G83" i="41"/>
  <c r="E88" i="87"/>
  <c r="D16" i="82"/>
  <c r="N89" i="25"/>
  <c r="G24" i="67"/>
  <c r="J5" i="68"/>
  <c r="E51" i="54"/>
  <c r="D52" i="52"/>
  <c r="N104" i="91"/>
  <c r="N36" i="80"/>
  <c r="H43" i="75"/>
  <c r="M77" i="68"/>
  <c r="N14" i="86"/>
  <c r="L94" i="74"/>
  <c r="L43" i="25"/>
  <c r="J53" i="83"/>
  <c r="O33" i="63"/>
  <c r="E64" i="85"/>
  <c r="H62" i="74"/>
  <c r="I30" i="46"/>
  <c r="I62" i="26"/>
  <c r="I76" i="48"/>
  <c r="N19" i="72"/>
  <c r="G53" i="38"/>
  <c r="I39" i="71"/>
  <c r="D42" i="50"/>
  <c r="L52" i="62"/>
  <c r="G38" i="59"/>
  <c r="F19" i="91"/>
  <c r="M98" i="58"/>
  <c r="M16" i="59"/>
  <c r="L98" i="93"/>
  <c r="F92" i="62"/>
  <c r="E45" i="86"/>
  <c r="D15" i="30"/>
  <c r="D91" i="63"/>
  <c r="D25" i="34"/>
  <c r="K23" i="71"/>
  <c r="C10" i="22"/>
  <c r="J103" i="51"/>
  <c r="N54" i="87"/>
  <c r="G24" i="57"/>
  <c r="D51" i="26"/>
  <c r="H23" i="85"/>
  <c r="G58" i="90"/>
  <c r="F103" i="56"/>
  <c r="O88" i="29"/>
  <c r="N37" i="54"/>
  <c r="M25" i="69"/>
  <c r="F12" i="29"/>
  <c r="J34"/>
  <c r="M92" i="87"/>
  <c r="E104" i="33"/>
  <c r="D83" i="61"/>
  <c r="I50" i="94"/>
  <c r="E61" i="51"/>
  <c r="K10" i="22"/>
  <c r="G65" i="73"/>
  <c r="N71" i="43"/>
  <c r="K50" i="74"/>
  <c r="K44" i="75"/>
  <c r="G57" i="46"/>
  <c r="N98" i="75"/>
  <c r="H41" i="68"/>
  <c r="I12" i="82"/>
  <c r="E95" i="50"/>
  <c r="O23" i="44"/>
  <c r="N45" i="43"/>
  <c r="D17" i="59"/>
  <c r="H89" i="71"/>
  <c r="H71" i="29"/>
  <c r="J29" i="79"/>
  <c r="K40" i="54"/>
  <c r="M7" i="60"/>
  <c r="J38" i="90"/>
  <c r="I41" i="64"/>
  <c r="H85" i="86"/>
  <c r="G46" i="60"/>
  <c r="H36" i="26"/>
  <c r="F10" i="81"/>
  <c r="G46" i="78"/>
  <c r="E91" i="51"/>
  <c r="K62" i="60"/>
  <c r="O59" i="82"/>
  <c r="E28" i="89"/>
  <c r="H9" i="67"/>
  <c r="J89" i="19"/>
  <c r="M15" i="56"/>
  <c r="L51" i="61"/>
  <c r="K104" i="94"/>
  <c r="G50" i="74"/>
  <c r="N34" i="41"/>
  <c r="J30" i="87"/>
  <c r="F14" i="29"/>
  <c r="J8" i="63"/>
  <c r="O5" i="65"/>
  <c r="N35" i="19"/>
  <c r="N51" i="82"/>
  <c r="O73" i="68"/>
  <c r="E97" i="33"/>
  <c r="D94" i="49"/>
  <c r="H31" i="70"/>
  <c r="M33" i="46"/>
  <c r="F70"/>
  <c r="L36" i="75"/>
  <c r="E12" i="66"/>
  <c r="D68" i="90"/>
  <c r="F57" i="26"/>
  <c r="O86" i="46"/>
  <c r="K5" i="57"/>
  <c r="I76" i="90"/>
  <c r="M74" i="70"/>
  <c r="F16" i="71"/>
  <c r="G9" i="45"/>
  <c r="L19" i="47"/>
  <c r="I74" i="82"/>
  <c r="E91" i="19"/>
  <c r="L49" i="40"/>
  <c r="N55" i="76"/>
  <c r="G32" i="63"/>
  <c r="O103" i="77"/>
  <c r="D98" i="82"/>
  <c r="D33" i="53"/>
  <c r="L82" i="25"/>
  <c r="G107" i="45"/>
  <c r="I55" i="60"/>
  <c r="K103" i="82"/>
  <c r="J57" i="57"/>
  <c r="M22" i="69"/>
  <c r="L24" i="82"/>
  <c r="J100" i="67"/>
  <c r="G8" i="29"/>
  <c r="K42" i="39"/>
  <c r="E106" i="87"/>
  <c r="K41" i="45"/>
  <c r="E24" i="46"/>
  <c r="F70" i="67"/>
  <c r="M104" i="25"/>
  <c r="I17" i="78"/>
  <c r="O23" i="82"/>
  <c r="I10" i="49"/>
  <c r="F54" i="54"/>
  <c r="M11" i="25"/>
  <c r="D15" i="78"/>
  <c r="D67" i="33"/>
  <c r="O74" i="55"/>
  <c r="H76" i="82"/>
  <c r="J26" i="45"/>
  <c r="K64" i="89"/>
  <c r="O46" i="54"/>
  <c r="F62" i="82"/>
  <c r="K16" i="93"/>
  <c r="H31" i="58"/>
  <c r="E58" i="38"/>
  <c r="E104" i="59"/>
  <c r="N12"/>
  <c r="I77" i="67"/>
  <c r="L47" i="38"/>
  <c r="I101" i="79"/>
  <c r="J56" i="54"/>
  <c r="N31" i="81"/>
  <c r="D17" i="33"/>
  <c r="G15" i="38"/>
  <c r="M21" i="91"/>
  <c r="E29" i="52"/>
  <c r="E52" i="48"/>
  <c r="K52" i="91"/>
  <c r="G42" i="29"/>
  <c r="M32" i="61"/>
  <c r="M38" i="41"/>
  <c r="D12" i="59"/>
  <c r="K52" i="33"/>
  <c r="F29" i="41"/>
  <c r="K67" i="39"/>
  <c r="F5" i="48"/>
  <c r="I26" i="44"/>
  <c r="H9" i="70"/>
  <c r="H53" i="53"/>
  <c r="N34" i="58"/>
  <c r="I27" i="56"/>
  <c r="H16" i="50"/>
  <c r="E77" i="90"/>
  <c r="L26" i="66"/>
  <c r="N49" i="62"/>
  <c r="D59" i="81"/>
  <c r="G19" i="73"/>
  <c r="M62" i="19"/>
  <c r="D51" i="74"/>
  <c r="M52" i="44"/>
  <c r="K21" i="47"/>
  <c r="H20" i="72"/>
  <c r="J73" i="73"/>
  <c r="E64"/>
  <c r="N88" i="77"/>
  <c r="D104" i="19"/>
  <c r="L52" i="44"/>
  <c r="O32" i="45"/>
  <c r="E107" i="38"/>
  <c r="O106"/>
  <c r="H6" i="80"/>
  <c r="G9" i="33"/>
  <c r="I4" i="39"/>
  <c r="M10" i="46"/>
  <c r="F48" i="52"/>
  <c r="O104" i="77"/>
  <c r="E107" i="84"/>
  <c r="L42" i="39"/>
  <c r="L23" i="63"/>
  <c r="F31" i="78"/>
  <c r="G40" i="30"/>
  <c r="L80" i="43"/>
  <c r="G20" i="30"/>
  <c r="M25" i="94"/>
  <c r="I53" i="71"/>
  <c r="E35" i="92"/>
  <c r="D28" i="30"/>
  <c r="K80" i="76"/>
  <c r="E43" i="93"/>
  <c r="D82" i="29"/>
  <c r="O61" i="25"/>
  <c r="J15" i="63"/>
  <c r="K61" i="71"/>
  <c r="G5" i="51"/>
  <c r="D71" i="77"/>
  <c r="H80" i="59"/>
  <c r="O7" i="89"/>
  <c r="G18" i="49"/>
  <c r="N29" i="47"/>
  <c r="K94" i="75"/>
  <c r="E14" i="76"/>
  <c r="H8" i="47"/>
  <c r="G41" i="44"/>
  <c r="D36" i="68"/>
  <c r="F73" i="54"/>
  <c r="M106" i="33"/>
  <c r="F26" i="57"/>
  <c r="M46" i="19"/>
  <c r="K82" i="35"/>
  <c r="G17" i="80"/>
  <c r="D44" i="69"/>
  <c r="E73" i="91"/>
  <c r="F10" i="69"/>
  <c r="D36" i="91"/>
  <c r="I28" i="63"/>
  <c r="N28" i="57"/>
  <c r="G20" i="40"/>
  <c r="L41" i="77"/>
  <c r="J86" i="36"/>
  <c r="N14" i="39"/>
  <c r="G79" i="80"/>
  <c r="E54" i="34"/>
  <c r="O28" i="69"/>
  <c r="G89" i="78"/>
  <c r="N85" i="84"/>
  <c r="G56" i="40"/>
  <c r="F25" i="77"/>
  <c r="G49" i="72"/>
  <c r="L42" i="92"/>
  <c r="M57" i="63"/>
  <c r="J48" i="91"/>
  <c r="E43" i="50"/>
  <c r="G58" i="33"/>
  <c r="M30" i="34"/>
  <c r="N70" i="59"/>
  <c r="D14" i="72"/>
  <c r="M68" i="30"/>
  <c r="I26" i="46"/>
  <c r="J31" i="50"/>
  <c r="M7" i="34"/>
  <c r="F56" i="56"/>
  <c r="L52" i="51"/>
  <c r="K52" i="70"/>
  <c r="J21" i="93"/>
  <c r="H94" i="58"/>
  <c r="O88" i="43"/>
  <c r="I67" i="77"/>
  <c r="N82" i="47"/>
  <c r="H42" i="53"/>
  <c r="I26" i="86"/>
  <c r="L54" i="63"/>
  <c r="D21" i="40"/>
  <c r="H33" i="34"/>
  <c r="K61" i="80"/>
  <c r="M44" i="76"/>
  <c r="J64" i="78"/>
  <c r="D83" i="54"/>
  <c r="E7" i="55"/>
  <c r="H64" i="94"/>
  <c r="J16" i="38"/>
  <c r="M16" i="91"/>
  <c r="M38" i="74"/>
  <c r="F64" i="63"/>
  <c r="N37" i="78"/>
  <c r="J12" i="81"/>
  <c r="D82" i="64"/>
  <c r="L20" i="82"/>
  <c r="N57" i="49"/>
  <c r="N59" i="74"/>
  <c r="N49" i="77"/>
  <c r="I23" i="90"/>
  <c r="I34" i="51"/>
  <c r="M61" i="65"/>
  <c r="M51" i="29"/>
  <c r="D98" i="48"/>
  <c r="O106" i="68"/>
  <c r="D37" i="71"/>
  <c r="J73" i="92"/>
  <c r="D38" i="34"/>
  <c r="I98" i="76"/>
  <c r="N73" i="78"/>
  <c r="F35" i="70"/>
  <c r="K71" i="91"/>
  <c r="M57" i="30"/>
  <c r="N95" i="81"/>
  <c r="E100" i="65"/>
  <c r="J4" i="30"/>
  <c r="K65" i="67"/>
  <c r="I58" i="27"/>
  <c r="D29" i="62"/>
  <c r="I85"/>
  <c r="H47" i="27"/>
  <c r="M64" i="78"/>
  <c r="G52" i="76"/>
  <c r="H41" i="44"/>
  <c r="H37" i="74"/>
  <c r="E31" i="89"/>
  <c r="E95" i="73"/>
  <c r="E4" i="34"/>
  <c r="K56" i="38"/>
  <c r="J8" i="67"/>
  <c r="L47" i="78"/>
  <c r="I8" i="48"/>
  <c r="F35" i="94"/>
  <c r="J48" i="55"/>
  <c r="O79" i="81"/>
  <c r="G55" i="91"/>
  <c r="H98" i="83"/>
  <c r="M103" i="69"/>
  <c r="G70" i="83"/>
  <c r="E47" i="35"/>
  <c r="J52" i="50"/>
  <c r="G10" i="61"/>
  <c r="F6" i="32"/>
  <c r="N70" i="71"/>
  <c r="J71" i="29"/>
  <c r="J51" i="49"/>
  <c r="I100" i="33"/>
  <c r="F38" i="52"/>
  <c r="D32" i="56"/>
  <c r="N5" i="67"/>
  <c r="G29" i="66"/>
  <c r="F52" i="27"/>
  <c r="E14" i="75"/>
  <c r="M86" i="43"/>
  <c r="M34" i="73"/>
  <c r="G9" i="78"/>
  <c r="O36" i="75"/>
  <c r="L54" i="46"/>
  <c r="L55" i="44"/>
  <c r="M34" i="51"/>
  <c r="E103" i="72"/>
  <c r="K15" i="49"/>
  <c r="G22" i="39"/>
  <c r="F34" i="87"/>
  <c r="K7" i="51"/>
  <c r="K25" i="56"/>
  <c r="K30" i="55"/>
  <c r="H32" i="61"/>
  <c r="K88" i="69"/>
  <c r="E37" i="39"/>
  <c r="M22" i="58"/>
  <c r="G31" i="90"/>
  <c r="G53" i="53"/>
  <c r="M33" i="29"/>
  <c r="I13" i="85"/>
  <c r="N54" i="78"/>
  <c r="E35" i="87"/>
  <c r="D106" i="58"/>
  <c r="D85" i="63"/>
  <c r="H62" i="35"/>
  <c r="I64" i="52"/>
  <c r="K65" i="51"/>
  <c r="F41" i="36"/>
  <c r="K34" i="72"/>
  <c r="F54" i="29"/>
  <c r="I30" i="33"/>
  <c r="F91" i="45"/>
  <c r="I25" i="70"/>
  <c r="K17" i="26"/>
  <c r="E80" i="85"/>
  <c r="I106" i="47"/>
  <c r="G49" i="67"/>
  <c r="M41" i="89"/>
  <c r="D44" i="71"/>
  <c r="N80" i="53"/>
  <c r="I25" i="25"/>
  <c r="F61" i="71"/>
  <c r="M95" i="90"/>
  <c r="F89" i="30"/>
  <c r="O57" i="74"/>
  <c r="M70" i="35"/>
  <c r="G83" i="79"/>
  <c r="M8" i="39"/>
  <c r="E32" i="72"/>
  <c r="L59" i="32"/>
  <c r="H74" i="40"/>
  <c r="O61" i="55"/>
  <c r="I16" i="78"/>
  <c r="K42" i="62"/>
  <c r="N49" i="57"/>
  <c r="I107" i="27"/>
  <c r="M34" i="59"/>
  <c r="F13" i="57"/>
  <c r="L17" i="26"/>
  <c r="D59" i="61"/>
  <c r="O56" i="41"/>
  <c r="L29" i="51"/>
  <c r="I107" i="80"/>
  <c r="M10" i="47"/>
  <c r="O35" i="58"/>
  <c r="D4" i="70"/>
  <c r="M83" i="38"/>
  <c r="F12" i="53"/>
  <c r="H104" i="54"/>
  <c r="J24" i="84"/>
  <c r="F34" i="29"/>
  <c r="E61" i="30"/>
  <c r="J32" i="89"/>
  <c r="L7" i="54"/>
  <c r="E19" i="56"/>
  <c r="M61" i="47"/>
  <c r="D47" i="65"/>
  <c r="L97" i="70"/>
  <c r="G8" i="46"/>
  <c r="H59" i="44"/>
  <c r="J26" i="62"/>
  <c r="L82" i="38"/>
  <c r="M91" i="93"/>
  <c r="J21" i="86"/>
  <c r="M24" i="19"/>
  <c r="E21" i="77"/>
  <c r="M19" i="53"/>
  <c r="N36" i="93"/>
  <c r="F29" i="72"/>
  <c r="J46" i="80"/>
  <c r="L6" i="94"/>
  <c r="M32" i="41"/>
  <c r="L5" i="67"/>
  <c r="M55" i="62"/>
  <c r="L8"/>
  <c r="L23" i="60"/>
  <c r="O8" i="69"/>
  <c r="J51"/>
  <c r="O46" i="84"/>
  <c r="M59" i="53"/>
  <c r="E68" i="74"/>
  <c r="G7" i="43"/>
  <c r="F21" i="90"/>
  <c r="J70" i="29"/>
  <c r="I20" i="86"/>
  <c r="I76" i="59"/>
  <c r="H27" i="47"/>
  <c r="N101" i="49"/>
  <c r="O80" i="64"/>
  <c r="D14" i="36"/>
  <c r="F42" i="42"/>
  <c r="I15" i="55"/>
  <c r="M91" i="66"/>
  <c r="E98" i="64"/>
  <c r="I6" i="44"/>
  <c r="F61" i="48"/>
  <c r="E20" i="51"/>
  <c r="G11" i="78"/>
  <c r="J51" i="76"/>
  <c r="I27" i="73"/>
  <c r="I103" i="91"/>
  <c r="O85" i="51"/>
  <c r="O107" i="71"/>
  <c r="H29" i="84"/>
  <c r="L89" i="65"/>
  <c r="F59" i="63"/>
  <c r="D30" i="40"/>
  <c r="O38" i="48"/>
  <c r="O22" i="67"/>
  <c r="K46" i="56"/>
  <c r="D43" i="46"/>
  <c r="F33" i="66"/>
  <c r="D12" i="43"/>
  <c r="G103" i="86"/>
  <c r="M23" i="30"/>
  <c r="K20" i="91"/>
  <c r="E94" i="89"/>
  <c r="I49" i="65"/>
  <c r="D31" i="51"/>
  <c r="L55" i="73"/>
  <c r="E82" i="78"/>
  <c r="E21" i="71"/>
  <c r="O58" i="25"/>
  <c r="G82" i="64"/>
  <c r="G56" i="75"/>
  <c r="L54" i="19"/>
  <c r="J41" i="93"/>
  <c r="E50" i="74"/>
  <c r="M71" i="46"/>
  <c r="H91" i="39"/>
  <c r="E48" i="33"/>
  <c r="J4" i="45"/>
  <c r="G30" i="86"/>
  <c r="O6" i="60"/>
  <c r="L30" i="65"/>
  <c r="D31" i="39"/>
  <c r="I17" i="82"/>
  <c r="D71" i="33"/>
  <c r="M52" i="61"/>
  <c r="L95" i="82"/>
  <c r="H40" i="71"/>
  <c r="L98" i="33"/>
  <c r="J50" i="86"/>
  <c r="N22" i="74"/>
  <c r="J64" i="62"/>
  <c r="E64" i="68"/>
  <c r="G7" i="58"/>
  <c r="L55" i="30"/>
  <c r="K28" i="36"/>
  <c r="H20" i="61"/>
  <c r="L25" i="34"/>
  <c r="O53" i="66"/>
  <c r="O16" i="70"/>
  <c r="K9" i="54"/>
  <c r="M12" i="49"/>
  <c r="H15" i="72"/>
  <c r="D65" i="50"/>
  <c r="L38" i="94"/>
  <c r="I49" i="63"/>
  <c r="K12" i="94"/>
  <c r="G32" i="41"/>
  <c r="N17" i="44"/>
  <c r="O37" i="81"/>
  <c r="K55" i="86"/>
  <c r="D46" i="33"/>
  <c r="N104" i="74"/>
  <c r="K67" i="27"/>
  <c r="F33" i="53"/>
  <c r="I7" i="48"/>
  <c r="K39" i="78"/>
  <c r="L65" i="41"/>
  <c r="M40" i="25"/>
  <c r="G41" i="84"/>
  <c r="D86" i="52"/>
  <c r="M55" i="73"/>
  <c r="E88" i="57"/>
  <c r="N28" i="45"/>
  <c r="H80" i="43"/>
  <c r="L104" i="44"/>
  <c r="E58" i="52"/>
  <c r="J10" i="79"/>
  <c r="J40" i="33"/>
  <c r="F36" i="82"/>
  <c r="I39" i="46"/>
  <c r="F41" i="83"/>
  <c r="H18" i="80"/>
  <c r="J82" i="41"/>
  <c r="K21" i="71"/>
  <c r="D21" i="70"/>
  <c r="N36" i="49"/>
  <c r="E12" i="70"/>
  <c r="G8" i="67"/>
  <c r="M48" i="51"/>
  <c r="K95" i="87"/>
  <c r="F48" i="48"/>
  <c r="J79" i="76"/>
  <c r="I30" i="78"/>
  <c r="L36" i="25"/>
  <c r="H22" i="35"/>
  <c r="M38" i="43"/>
  <c r="I50" i="53"/>
  <c r="G64" i="46"/>
  <c r="N12" i="83"/>
  <c r="G27" i="89"/>
  <c r="N57" i="74"/>
  <c r="N20" i="87"/>
  <c r="O74" i="78"/>
  <c r="D103" i="45"/>
  <c r="D59" i="75"/>
  <c r="K71" i="55"/>
  <c r="H29" i="57"/>
  <c r="M26" i="80"/>
  <c r="G79" i="32"/>
  <c r="E106" i="44"/>
  <c r="O74" i="87"/>
  <c r="D64" i="84"/>
  <c r="D42" i="45"/>
  <c r="I77" i="66"/>
  <c r="O18" i="49"/>
  <c r="K19" i="27"/>
  <c r="J39" i="70"/>
  <c r="M65" i="77"/>
  <c r="G52" i="62"/>
  <c r="H83" i="72"/>
  <c r="N73" i="77"/>
  <c r="D13" i="39"/>
  <c r="M33" i="43"/>
  <c r="G27" i="55"/>
  <c r="D68" i="85"/>
  <c r="H28" i="61"/>
  <c r="N38" i="75"/>
  <c r="H76" i="53"/>
  <c r="E54" i="90"/>
  <c r="E30" i="86"/>
  <c r="F20" i="35"/>
  <c r="I36" i="76"/>
  <c r="D8" i="71"/>
  <c r="H97" i="64"/>
  <c r="N73" i="35"/>
  <c r="K107" i="33"/>
  <c r="M95" i="58"/>
  <c r="F54" i="48"/>
  <c r="E22" i="44"/>
  <c r="F32" i="94"/>
  <c r="I53" i="53"/>
  <c r="J91" i="66"/>
  <c r="I92" i="46"/>
  <c r="I40" i="84"/>
  <c r="G59" i="63"/>
  <c r="J33" i="73"/>
  <c r="E18" i="48"/>
  <c r="L94" i="75"/>
  <c r="O33" i="59"/>
  <c r="N40" i="83"/>
  <c r="J42" i="90"/>
  <c r="F101" i="64"/>
  <c r="L61" i="60"/>
  <c r="D46" i="90"/>
  <c r="I106" i="76"/>
  <c r="F26" i="66"/>
  <c r="L19" i="68"/>
  <c r="E18" i="52"/>
  <c r="L55" i="65"/>
  <c r="K64" i="81"/>
  <c r="M47" i="35"/>
  <c r="M59" i="75"/>
  <c r="I44" i="58"/>
  <c r="F82" i="35"/>
  <c r="G85" i="52"/>
  <c r="G80" i="44"/>
  <c r="F38" i="40"/>
  <c r="M39" i="49"/>
  <c r="E42" i="74"/>
  <c r="F11" i="94"/>
  <c r="J43" i="79"/>
  <c r="J65" i="72"/>
  <c r="H46" i="87"/>
  <c r="K4" i="56"/>
  <c r="I25" i="80"/>
  <c r="K89" i="54"/>
  <c r="M43" i="86"/>
  <c r="E70" i="45"/>
  <c r="M107" i="94"/>
  <c r="M101" i="75"/>
  <c r="H91"/>
  <c r="D85" i="82"/>
  <c r="O40" i="70"/>
  <c r="F17" i="49"/>
  <c r="I39" i="45"/>
  <c r="F32" i="30"/>
  <c r="O40" i="61"/>
  <c r="J50" i="90"/>
  <c r="M77" i="94"/>
  <c r="O14" i="64"/>
  <c r="G64" i="49"/>
  <c r="L57" i="83"/>
  <c r="K62" i="49"/>
  <c r="H68" i="69"/>
  <c r="H16" i="57"/>
  <c r="G17" i="82"/>
  <c r="E14" i="27"/>
  <c r="H6" i="68"/>
  <c r="K6" i="66"/>
  <c r="F13" i="26"/>
  <c r="N100" i="73"/>
  <c r="N14" i="60"/>
  <c r="G20" i="91"/>
  <c r="I80" i="89"/>
  <c r="L19" i="69"/>
  <c r="H9" i="36"/>
  <c r="H55" i="86"/>
  <c r="L52" i="63"/>
  <c r="H47" i="60"/>
  <c r="K88" i="43"/>
  <c r="I71" i="89"/>
  <c r="K43" i="86"/>
  <c r="O106" i="78"/>
  <c r="E45" i="48"/>
  <c r="O36" i="26"/>
  <c r="H5" i="27"/>
  <c r="O68" i="90"/>
  <c r="J38" i="58"/>
  <c r="O25" i="40"/>
  <c r="N82" i="87"/>
  <c r="I8" i="58"/>
  <c r="F6" i="94"/>
  <c r="D76" i="85"/>
  <c r="L101" i="67"/>
  <c r="J103" i="79"/>
  <c r="M38" i="27"/>
  <c r="D7" i="72"/>
  <c r="N54" i="93"/>
  <c r="D41" i="77"/>
  <c r="D14" i="71"/>
  <c r="H58" i="34"/>
  <c r="E97" i="44"/>
  <c r="D18" i="64"/>
  <c r="H28" i="55"/>
  <c r="E38" i="34"/>
  <c r="K5" i="93"/>
  <c r="L46" i="48"/>
  <c r="G86" i="46"/>
  <c r="F82" i="83"/>
  <c r="H39" i="30"/>
  <c r="K9" i="56"/>
  <c r="F7" i="64"/>
  <c r="M52" i="41"/>
  <c r="J58" i="45"/>
  <c r="D89" i="57"/>
  <c r="G53" i="77"/>
  <c r="F94" i="79"/>
  <c r="J30" i="51"/>
  <c r="K40" i="35"/>
  <c r="K47" i="74"/>
  <c r="F54" i="38"/>
  <c r="O67" i="87"/>
  <c r="L59" i="34"/>
  <c r="I59" i="41"/>
  <c r="J61" i="73"/>
  <c r="I73" i="85"/>
  <c r="K71" i="56"/>
  <c r="G39" i="90"/>
  <c r="K23" i="84"/>
  <c r="J58" i="43"/>
  <c r="M57" i="78"/>
  <c r="L13" i="43"/>
  <c r="O31" i="26"/>
  <c r="M80" i="35"/>
  <c r="O24" i="60"/>
  <c r="L107" i="44"/>
  <c r="O24" i="75"/>
  <c r="F54" i="39"/>
  <c r="K59" i="40"/>
  <c r="K18" i="27"/>
  <c r="K70" i="33"/>
  <c r="G21" i="60"/>
  <c r="O79" i="53"/>
  <c r="J14" i="74"/>
  <c r="G51" i="71"/>
  <c r="I35" i="64"/>
  <c r="F33" i="68"/>
  <c r="I43" i="82"/>
  <c r="H13" i="59"/>
  <c r="G27" i="63"/>
  <c r="N79" i="73"/>
  <c r="G95" i="56"/>
  <c r="D19" i="25"/>
  <c r="H101" i="50"/>
  <c r="H14" i="46"/>
  <c r="J107" i="39"/>
  <c r="H16" i="80"/>
  <c r="E95" i="46"/>
  <c r="E71" i="25"/>
  <c r="G58" i="67"/>
  <c r="L52" i="83"/>
  <c r="N12" i="93"/>
  <c r="N25" i="58"/>
  <c r="H28" i="30"/>
  <c r="D7" i="57"/>
  <c r="G77" i="62"/>
  <c r="L27" i="48"/>
  <c r="G42" i="81"/>
  <c r="M47" i="53"/>
  <c r="M27" i="61"/>
  <c r="E56" i="64"/>
  <c r="M19" i="45"/>
  <c r="F89" i="74"/>
  <c r="D55" i="19"/>
  <c r="F91" i="38"/>
  <c r="O23" i="26"/>
  <c r="I45" i="89"/>
  <c r="K49" i="48"/>
  <c r="O101" i="36"/>
  <c r="K33" i="65"/>
  <c r="E83" i="78"/>
  <c r="G17" i="57"/>
  <c r="L104" i="61"/>
  <c r="G22" i="80"/>
  <c r="H58" i="45"/>
  <c r="I107" i="90"/>
  <c r="N19"/>
  <c r="F48" i="77"/>
  <c r="E86" i="45"/>
  <c r="I86" i="34"/>
  <c r="I92" i="63"/>
  <c r="H103" i="43"/>
  <c r="K5" i="35"/>
  <c r="D98" i="46"/>
  <c r="F38"/>
  <c r="K12" i="72"/>
  <c r="M79" i="47"/>
  <c r="G56" i="78"/>
  <c r="N61" i="33"/>
  <c r="E82" i="41"/>
  <c r="H58" i="26"/>
  <c r="D47" i="59"/>
  <c r="L56" i="19"/>
  <c r="F11" i="71"/>
  <c r="M70" i="87"/>
  <c r="H37" i="53"/>
  <c r="I27" i="81"/>
  <c r="H68" i="42"/>
  <c r="N4" i="26"/>
  <c r="N55" i="34"/>
  <c r="O100" i="65"/>
  <c r="M10" i="34"/>
  <c r="E32" i="94"/>
  <c r="N83"/>
  <c r="L65" i="93"/>
  <c r="E13" i="92"/>
  <c r="O76" i="46"/>
  <c r="N9" i="70"/>
  <c r="M39" i="77"/>
  <c r="E25" i="55"/>
  <c r="G88" i="38"/>
  <c r="K77" i="46"/>
  <c r="N52"/>
  <c r="I79" i="32"/>
  <c r="D98" i="70"/>
  <c r="E15" i="62"/>
  <c r="F7" i="29"/>
  <c r="K26" i="87"/>
  <c r="D98" i="32"/>
  <c r="O31" i="73"/>
  <c r="G31" i="55"/>
  <c r="J6" i="86"/>
  <c r="J7" i="92"/>
  <c r="G70" i="27"/>
  <c r="L65" i="64"/>
  <c r="I30" i="87"/>
  <c r="I100" i="63"/>
  <c r="N92" i="40"/>
  <c r="J26" i="38"/>
  <c r="K20" i="26"/>
  <c r="M65" i="75"/>
  <c r="I24" i="69"/>
  <c r="D46" i="40"/>
  <c r="L8" i="77"/>
  <c r="K89" i="27"/>
  <c r="E29" i="73"/>
  <c r="H29" i="49"/>
  <c r="J82" i="93"/>
  <c r="D62" i="73"/>
  <c r="I57" i="60"/>
  <c r="N5" i="48"/>
  <c r="O67" i="39"/>
  <c r="K38" i="59"/>
  <c r="D88" i="87"/>
  <c r="E22" i="78"/>
  <c r="G5" i="40"/>
  <c r="D79" i="48"/>
  <c r="M52" i="87"/>
  <c r="F70" i="69"/>
  <c r="O38" i="30"/>
  <c r="L86" i="89"/>
  <c r="F92" i="77"/>
  <c r="I12" i="57"/>
  <c r="G31" i="29"/>
  <c r="F8" i="72"/>
  <c r="O98" i="67"/>
  <c r="J21" i="27"/>
  <c r="G91" i="78"/>
  <c r="M15" i="34"/>
  <c r="K94" i="55"/>
  <c r="G23" i="64"/>
  <c r="J23" i="59"/>
  <c r="J104"/>
  <c r="N21" i="80"/>
  <c r="K54" i="55"/>
  <c r="G70" i="61"/>
  <c r="D41" i="74"/>
  <c r="M89" i="59"/>
  <c r="J86" i="55"/>
  <c r="O41" i="81"/>
  <c r="L104" i="74"/>
  <c r="O73" i="73"/>
  <c r="G39" i="78"/>
  <c r="M24" i="54"/>
  <c r="N5"/>
  <c r="E80" i="58"/>
  <c r="M26" i="92"/>
  <c r="H86" i="43"/>
  <c r="L8" i="83"/>
  <c r="F95" i="93"/>
  <c r="K44" i="51"/>
  <c r="E22" i="45"/>
  <c r="F94" i="63"/>
  <c r="J100" i="82"/>
  <c r="I52" i="57"/>
  <c r="I15" i="45"/>
  <c r="M65" i="63"/>
  <c r="L100" i="41"/>
  <c r="H73" i="45"/>
  <c r="I86" i="25"/>
  <c r="K45" i="81"/>
  <c r="I47" i="83"/>
  <c r="O47" i="34"/>
  <c r="M56" i="65"/>
  <c r="G71" i="32"/>
  <c r="F41" i="63"/>
  <c r="D54" i="34"/>
  <c r="K34" i="66"/>
  <c r="L68" i="68"/>
  <c r="E7" i="75"/>
  <c r="K24" i="33"/>
  <c r="I73" i="55"/>
  <c r="F33" i="43"/>
  <c r="N32" i="66"/>
  <c r="G62" i="34"/>
  <c r="M107" i="68"/>
  <c r="M56" i="80"/>
  <c r="K24" i="76"/>
  <c r="G32" i="60"/>
  <c r="G106" i="64"/>
  <c r="O76" i="29"/>
  <c r="D103" i="50"/>
  <c r="L59" i="92"/>
  <c r="O13" i="87"/>
  <c r="E89" i="60"/>
  <c r="J74" i="91"/>
  <c r="M42" i="38"/>
  <c r="J95" i="71"/>
  <c r="N15" i="30"/>
  <c r="J55" i="93"/>
  <c r="F36" i="85"/>
  <c r="L76" i="25"/>
  <c r="J100" i="45"/>
  <c r="O6" i="59"/>
  <c r="D29" i="65"/>
  <c r="L107" i="26"/>
  <c r="M29" i="39"/>
  <c r="N17" i="45"/>
  <c r="O103" i="51"/>
  <c r="M58" i="29"/>
  <c r="K59" i="78"/>
  <c r="M23" i="84"/>
  <c r="G37" i="81"/>
  <c r="F16"/>
  <c r="H9" i="59"/>
  <c r="E101" i="86"/>
  <c r="M95" i="71"/>
  <c r="D76" i="75"/>
  <c r="K62" i="81"/>
  <c r="H38" i="40"/>
  <c r="I12" i="73"/>
  <c r="N100" i="90"/>
  <c r="H45" i="72"/>
  <c r="K6" i="39"/>
  <c r="F5" i="33"/>
  <c r="M86" i="48"/>
  <c r="I35" i="87"/>
  <c r="L77" i="81"/>
  <c r="E20" i="79"/>
  <c r="N82" i="46"/>
  <c r="L33" i="59"/>
  <c r="F107" i="39"/>
  <c r="I6" i="72"/>
  <c r="E23" i="39"/>
  <c r="E62" i="38"/>
  <c r="E107" i="80"/>
  <c r="L46" i="92"/>
  <c r="L34" i="81"/>
  <c r="O82" i="26"/>
  <c r="L92" i="43"/>
  <c r="K71" i="83"/>
  <c r="H24" i="41"/>
  <c r="J4" i="92"/>
  <c r="O41" i="83"/>
  <c r="H46" i="51"/>
  <c r="D36" i="62"/>
  <c r="J44" i="92"/>
  <c r="F74" i="91"/>
  <c r="I18" i="27"/>
  <c r="G37" i="61"/>
  <c r="G18" i="62"/>
  <c r="E4" i="50"/>
  <c r="H11" i="70"/>
  <c r="N83" i="62"/>
  <c r="O32" i="64"/>
  <c r="O71" i="93"/>
  <c r="E76" i="35"/>
  <c r="L103" i="72"/>
  <c r="I59" i="36"/>
  <c r="D86" i="72"/>
  <c r="L23" i="30"/>
  <c r="I7"/>
  <c r="O26" i="84"/>
  <c r="K42"/>
  <c r="L37" i="81"/>
  <c r="D89" i="73"/>
  <c r="J6" i="92"/>
  <c r="J30" i="79"/>
  <c r="K89" i="39"/>
  <c r="H37" i="61"/>
  <c r="E16" i="89"/>
  <c r="F94" i="57"/>
  <c r="F71"/>
  <c r="F51" i="67"/>
  <c r="D38" i="84"/>
  <c r="F45" i="19"/>
  <c r="L65" i="57"/>
  <c r="I43" i="49"/>
  <c r="O50" i="57"/>
  <c r="N61" i="46"/>
  <c r="O5" i="47"/>
  <c r="D41" i="63"/>
  <c r="N70" i="61"/>
  <c r="N9" i="58"/>
  <c r="J4" i="73"/>
  <c r="J36" i="19"/>
  <c r="N10" i="36"/>
  <c r="G54" i="65"/>
  <c r="N22" i="54"/>
  <c r="G92" i="44"/>
  <c r="M37" i="32"/>
  <c r="I61" i="52"/>
  <c r="N83" i="36"/>
  <c r="H24" i="33"/>
  <c r="H30" i="81"/>
  <c r="E14" i="87"/>
  <c r="K67" i="82"/>
  <c r="G48" i="78"/>
  <c r="D16" i="29"/>
  <c r="I55" i="92"/>
  <c r="D107" i="33"/>
  <c r="H79" i="63"/>
  <c r="L12" i="80"/>
  <c r="M18" i="76"/>
  <c r="F88" i="68"/>
  <c r="D92" i="35"/>
  <c r="E61" i="68"/>
  <c r="N77" i="34"/>
  <c r="N28" i="35"/>
  <c r="E33" i="64"/>
  <c r="O39" i="62"/>
  <c r="D76" i="45"/>
  <c r="F91" i="40"/>
  <c r="E51" i="53"/>
  <c r="E107" i="71"/>
  <c r="I94" i="47"/>
  <c r="D11" i="36"/>
  <c r="F58" i="84"/>
  <c r="J104" i="50"/>
  <c r="G18" i="86"/>
  <c r="E83" i="35"/>
  <c r="I104" i="68"/>
  <c r="I13" i="48"/>
  <c r="D35" i="84"/>
  <c r="D92" i="72"/>
  <c r="G4" i="75"/>
  <c r="E22" i="84"/>
  <c r="D80" i="77"/>
  <c r="I30" i="36"/>
  <c r="M67" i="64"/>
  <c r="G17" i="44"/>
  <c r="K20" i="65"/>
  <c r="D33" i="35"/>
  <c r="J97" i="86"/>
  <c r="N7" i="71"/>
  <c r="G82" i="68"/>
  <c r="I19" i="77"/>
  <c r="D15"/>
  <c r="O24" i="35"/>
  <c r="N40" i="46"/>
  <c r="M85" i="43"/>
  <c r="F103" i="33"/>
  <c r="I6" i="85"/>
  <c r="I67" i="89"/>
  <c r="D97" i="51"/>
  <c r="E52" i="57"/>
  <c r="H67" i="66"/>
  <c r="K13" i="89"/>
  <c r="N58" i="84"/>
  <c r="E43" i="79"/>
  <c r="F59" i="62"/>
  <c r="E74" i="65"/>
  <c r="O49" i="81"/>
  <c r="N34" i="19"/>
  <c r="J57" i="91"/>
  <c r="D15" i="57"/>
  <c r="D20" i="46"/>
  <c r="D46" i="34"/>
  <c r="J62" i="26"/>
  <c r="D30" i="66"/>
  <c r="K37" i="44"/>
  <c r="G54" i="85"/>
  <c r="G56" i="27"/>
  <c r="F9" i="52"/>
  <c r="G88" i="46"/>
  <c r="N54" i="62"/>
  <c r="M100" i="44"/>
  <c r="L82" i="94"/>
  <c r="D38" i="36"/>
  <c r="N33" i="70"/>
  <c r="G76" i="67"/>
  <c r="N107" i="53"/>
  <c r="E101" i="70"/>
  <c r="E98" i="50"/>
  <c r="F91" i="52"/>
  <c r="K6" i="29"/>
  <c r="G62" i="43"/>
  <c r="D9" i="34"/>
  <c r="K53" i="69"/>
  <c r="O51" i="80"/>
  <c r="F107" i="51"/>
  <c r="E58" i="61"/>
  <c r="L106" i="69"/>
  <c r="M32" i="36"/>
  <c r="E40" i="51"/>
  <c r="J79" i="69"/>
  <c r="G98" i="74"/>
  <c r="N18" i="61"/>
  <c r="G16" i="65"/>
  <c r="N4" i="77"/>
  <c r="K33" i="62"/>
  <c r="G17" i="36"/>
  <c r="F42" i="79"/>
  <c r="H48" i="87"/>
  <c r="G38" i="49"/>
  <c r="G68" i="69"/>
  <c r="G44" i="79"/>
  <c r="L68" i="65"/>
  <c r="D86" i="92"/>
  <c r="O17" i="68"/>
  <c r="M29" i="60"/>
  <c r="G43" i="62"/>
  <c r="K18" i="75"/>
  <c r="M80" i="76"/>
  <c r="D16" i="66"/>
  <c r="E39" i="79"/>
  <c r="I57" i="64"/>
  <c r="K56" i="76"/>
  <c r="O10" i="67"/>
  <c r="I106" i="77"/>
  <c r="I28" i="49"/>
  <c r="G39" i="66"/>
  <c r="I98" i="47"/>
  <c r="J106" i="39"/>
  <c r="N28" i="66"/>
  <c r="L77" i="19"/>
  <c r="E54" i="25"/>
  <c r="G107" i="19"/>
  <c r="M82" i="59"/>
  <c r="M16" i="19"/>
  <c r="O32" i="93"/>
  <c r="E89" i="62"/>
  <c r="H33" i="46"/>
  <c r="K29" i="92"/>
  <c r="H82"/>
  <c r="D46" i="58"/>
  <c r="I57" i="62"/>
  <c r="N8" i="83"/>
  <c r="H104" i="32"/>
  <c r="M85" i="53"/>
  <c r="G52" i="92"/>
  <c r="N55" i="80"/>
  <c r="M88" i="86"/>
  <c r="O104" i="58"/>
  <c r="F46" i="43"/>
  <c r="M64" i="19"/>
  <c r="M33" i="81"/>
  <c r="E54" i="58"/>
  <c r="J65" i="92"/>
  <c r="M37" i="57"/>
  <c r="F29" i="53"/>
  <c r="G73" i="25"/>
  <c r="L21" i="36"/>
  <c r="N16" i="72"/>
  <c r="N17" i="58"/>
  <c r="D30" i="33"/>
  <c r="N49" i="27"/>
  <c r="G30" i="71"/>
  <c r="I64" i="45"/>
  <c r="K107" i="58"/>
  <c r="G25" i="40"/>
  <c r="K95" i="83"/>
  <c r="I21" i="45"/>
  <c r="M52" i="32"/>
  <c r="D41" i="52"/>
  <c r="F44" i="36"/>
  <c r="H27" i="58"/>
  <c r="K26" i="77"/>
  <c r="E16" i="93"/>
  <c r="F88" i="38"/>
  <c r="H89" i="62"/>
  <c r="K107" i="27"/>
  <c r="N88" i="51"/>
  <c r="J91" i="33"/>
  <c r="O27" i="65"/>
  <c r="F85" i="49"/>
  <c r="O7" i="72"/>
  <c r="D71" i="59"/>
  <c r="E56" i="77"/>
  <c r="K36"/>
  <c r="H45" i="92"/>
  <c r="G98" i="91"/>
  <c r="J97" i="71"/>
  <c r="G5" i="92"/>
  <c r="L94" i="82"/>
  <c r="H41" i="40"/>
  <c r="E38" i="85"/>
  <c r="D39" i="35"/>
  <c r="H13"/>
  <c r="E40" i="77"/>
  <c r="E49" i="39"/>
  <c r="O51" i="34"/>
  <c r="O101" i="25"/>
  <c r="L44" i="29"/>
  <c r="M39" i="32"/>
  <c r="O43"/>
  <c r="H34" i="27"/>
  <c r="G4" i="79"/>
  <c r="L16" i="65"/>
  <c r="N27" i="75"/>
  <c r="M6" i="74"/>
  <c r="F95" i="60"/>
  <c r="G94" i="30"/>
  <c r="K19" i="72"/>
  <c r="H30" i="44"/>
  <c r="O68" i="72"/>
  <c r="D34" i="33"/>
  <c r="L82" i="77"/>
  <c r="N19" i="89"/>
  <c r="F58" i="29"/>
  <c r="E44" i="74"/>
  <c r="F101" i="58"/>
  <c r="F30" i="19"/>
  <c r="J50" i="54"/>
  <c r="E74" i="64"/>
  <c r="I47" i="65"/>
  <c r="H28" i="67"/>
  <c r="H32" i="29"/>
  <c r="H55" i="82"/>
  <c r="D16" i="65"/>
  <c r="H95" i="69"/>
  <c r="F25" i="29"/>
  <c r="N61" i="61"/>
  <c r="I56" i="63"/>
  <c r="M32" i="89"/>
  <c r="F86" i="70"/>
  <c r="N88" i="83"/>
  <c r="F16" i="45"/>
  <c r="N23" i="51"/>
  <c r="E12" i="62"/>
  <c r="J16" i="73"/>
  <c r="O4" i="69"/>
  <c r="O95" i="55"/>
  <c r="M37" i="83"/>
  <c r="K46" i="58"/>
  <c r="F76" i="76"/>
  <c r="E6" i="67"/>
  <c r="E45" i="57"/>
  <c r="O46" i="74"/>
  <c r="I52" i="61"/>
  <c r="H25"/>
  <c r="J36" i="58"/>
  <c r="D82" i="71"/>
  <c r="J50" i="45"/>
  <c r="J77" i="67"/>
  <c r="E15" i="46"/>
  <c r="I79"/>
  <c r="O85" i="62"/>
  <c r="J62" i="71"/>
  <c r="F34" i="53"/>
  <c r="N48" i="35"/>
  <c r="G97" i="87"/>
  <c r="H91" i="83"/>
  <c r="N88" i="25"/>
  <c r="J23" i="29"/>
  <c r="M23" i="63"/>
  <c r="E39" i="43"/>
  <c r="E15" i="44"/>
  <c r="O103" i="54"/>
  <c r="J24" i="87"/>
  <c r="M32" i="81"/>
  <c r="M97" i="43"/>
  <c r="I12" i="53"/>
  <c r="M106" i="57"/>
  <c r="L25" i="92"/>
  <c r="O32" i="49"/>
  <c r="L8" i="94"/>
  <c r="E56" i="27"/>
  <c r="M54" i="81"/>
  <c r="H80" i="58"/>
  <c r="L43" i="41"/>
  <c r="G35" i="90"/>
  <c r="L42" i="76"/>
  <c r="K51" i="29"/>
  <c r="F11" i="92"/>
  <c r="N44" i="27"/>
  <c r="F19" i="25"/>
  <c r="L7" i="73"/>
  <c r="G12" i="72"/>
  <c r="H103" i="27"/>
  <c r="N8" i="36"/>
  <c r="D22" i="74"/>
  <c r="K107" i="68"/>
  <c r="J28" i="40"/>
  <c r="J106" i="74"/>
  <c r="E15" i="58"/>
  <c r="I23" i="74"/>
  <c r="G71" i="53"/>
  <c r="O15" i="61"/>
  <c r="N85" i="58"/>
  <c r="N53" i="89"/>
  <c r="O55" i="75"/>
  <c r="J51" i="86"/>
  <c r="H55" i="19"/>
  <c r="K61"/>
  <c r="L103" i="45"/>
  <c r="O16" i="29"/>
  <c r="J51" i="87"/>
  <c r="F18" i="60"/>
  <c r="N27" i="44"/>
  <c r="N83" i="39"/>
  <c r="E88" i="89"/>
  <c r="M8" i="67"/>
  <c r="G43" i="34"/>
  <c r="I6" i="50"/>
  <c r="J12" i="63"/>
  <c r="G4" i="68"/>
  <c r="D80" i="72"/>
  <c r="E31" i="93"/>
  <c r="G18" i="41"/>
  <c r="D23" i="34"/>
  <c r="G14" i="46"/>
  <c r="N77" i="54"/>
  <c r="N24" i="74"/>
  <c r="D56" i="63"/>
  <c r="G14" i="32"/>
  <c r="J26" i="60"/>
  <c r="M48" i="70"/>
  <c r="J18" i="84"/>
  <c r="E79" i="73"/>
  <c r="G24" i="91"/>
  <c r="O34" i="90"/>
  <c r="N53" i="19"/>
  <c r="L43" i="64"/>
  <c r="D107" i="60"/>
  <c r="F42" i="33"/>
  <c r="L104" i="54"/>
  <c r="L15" i="19"/>
  <c r="N94" i="68"/>
  <c r="G28" i="84"/>
  <c r="L83" i="72"/>
  <c r="L70" i="66"/>
  <c r="G23" i="71"/>
  <c r="D30" i="72"/>
  <c r="N98" i="84"/>
  <c r="H6" i="81"/>
  <c r="J55" i="30"/>
  <c r="E71" i="67"/>
  <c r="H9" i="33"/>
  <c r="G71" i="72"/>
  <c r="N50" i="69"/>
  <c r="G21" i="67"/>
  <c r="F68" i="40"/>
  <c r="L97" i="75"/>
  <c r="K101"/>
  <c r="G7" i="78"/>
  <c r="E104" i="63"/>
  <c r="M101" i="89"/>
  <c r="E100" i="90"/>
  <c r="N92" i="35"/>
  <c r="N15" i="77"/>
  <c r="M29" i="81"/>
  <c r="O7" i="35"/>
  <c r="D24" i="59"/>
  <c r="D82" i="79"/>
  <c r="G83" i="30"/>
  <c r="D30" i="61"/>
  <c r="L21" i="59"/>
  <c r="J26" i="56"/>
  <c r="F100" i="55"/>
  <c r="H26" i="91"/>
  <c r="O80" i="19"/>
  <c r="M101" i="64"/>
  <c r="L27" i="94"/>
  <c r="I31" i="77"/>
  <c r="E67" i="41"/>
  <c r="O103" i="76"/>
  <c r="N70" i="69"/>
  <c r="N104" i="76"/>
  <c r="H106" i="38"/>
  <c r="F46" i="25"/>
  <c r="L95" i="89"/>
  <c r="M88" i="49"/>
  <c r="F83" i="47"/>
  <c r="N21"/>
  <c r="D22" i="30"/>
  <c r="F13" i="38"/>
  <c r="D12" i="60"/>
  <c r="E61" i="39"/>
  <c r="D31" i="32"/>
  <c r="F38" i="39"/>
  <c r="G41" i="29"/>
  <c r="F92" i="64"/>
  <c r="E70" i="35"/>
  <c r="K76" i="25"/>
  <c r="N16" i="92"/>
  <c r="N80" i="38"/>
  <c r="F74" i="58"/>
  <c r="O86" i="80"/>
  <c r="J88" i="38"/>
  <c r="M100" i="26"/>
  <c r="J11" i="35"/>
  <c r="D98" i="19"/>
  <c r="N106" i="57"/>
  <c r="E9" i="33"/>
  <c r="H37" i="72"/>
  <c r="H100" i="69"/>
  <c r="M88" i="87"/>
  <c r="H15" i="78"/>
  <c r="J14"/>
  <c r="J80" i="84"/>
  <c r="O106" i="34"/>
  <c r="D7" i="79"/>
  <c r="D9" i="90"/>
  <c r="O8" i="81"/>
  <c r="L14" i="64"/>
  <c r="D53" i="82"/>
  <c r="F107" i="93"/>
  <c r="O57" i="86"/>
  <c r="M52" i="77"/>
  <c r="K20" i="47"/>
  <c r="J31" i="30"/>
  <c r="G8" i="48"/>
  <c r="D38" i="81"/>
  <c r="D17" i="25"/>
  <c r="O104" i="72"/>
  <c r="M101" i="46"/>
  <c r="J77" i="71"/>
  <c r="E91" i="87"/>
  <c r="M83" i="46"/>
  <c r="N86" i="87"/>
  <c r="M104" i="73"/>
  <c r="I91" i="74"/>
  <c r="L92" i="92"/>
  <c r="H98" i="53"/>
  <c r="H88" i="78"/>
  <c r="E47" i="52"/>
  <c r="J7" i="54"/>
  <c r="G61" i="42"/>
  <c r="D82" i="48"/>
  <c r="N70" i="83"/>
  <c r="F23" i="87"/>
  <c r="G89" i="66"/>
  <c r="L25" i="71"/>
  <c r="J88" i="34"/>
  <c r="F53" i="94"/>
  <c r="J70" i="80"/>
  <c r="G88" i="85"/>
  <c r="E55" i="91"/>
  <c r="O7" i="64"/>
  <c r="M38" i="67"/>
  <c r="J55" i="60"/>
  <c r="M68" i="19"/>
  <c r="O77" i="70"/>
  <c r="E21" i="72"/>
  <c r="G40" i="67"/>
  <c r="D62" i="84"/>
  <c r="F5" i="75"/>
  <c r="E17" i="89"/>
  <c r="N13" i="92"/>
  <c r="G104" i="60"/>
  <c r="D38" i="19"/>
  <c r="I59" i="73"/>
  <c r="D70" i="84"/>
  <c r="J35" i="55"/>
  <c r="F38" i="58"/>
  <c r="H25" i="75"/>
  <c r="J25" i="69"/>
  <c r="K101" i="19"/>
  <c r="K101" i="86"/>
  <c r="F74" i="77"/>
  <c r="J13" i="75"/>
  <c r="H104" i="74"/>
  <c r="L42" i="29"/>
  <c r="D14" i="82"/>
  <c r="O45" i="91"/>
  <c r="F50" i="63"/>
  <c r="I18" i="49"/>
  <c r="M71" i="71"/>
  <c r="G70" i="19"/>
  <c r="K67" i="60"/>
  <c r="I106" i="51"/>
  <c r="F33" i="84"/>
  <c r="D100" i="61"/>
  <c r="M95" i="49"/>
  <c r="J80" i="89"/>
  <c r="K100" i="61"/>
  <c r="F95" i="70"/>
  <c r="O52" i="94"/>
  <c r="G7" i="35"/>
  <c r="G27" i="60"/>
  <c r="O27" i="51"/>
  <c r="O82" i="60"/>
  <c r="E32" i="54"/>
  <c r="N58" i="19"/>
  <c r="J97" i="43"/>
  <c r="D27" i="25"/>
  <c r="M35" i="53"/>
  <c r="D14" i="89"/>
  <c r="E16" i="77"/>
  <c r="F85" i="93"/>
  <c r="I15" i="58"/>
  <c r="I97" i="50"/>
  <c r="M71" i="25"/>
  <c r="D68" i="56"/>
  <c r="O32" i="71"/>
  <c r="G57" i="81"/>
  <c r="L82" i="59"/>
  <c r="L5" i="41"/>
  <c r="K16" i="40"/>
  <c r="O80" i="60"/>
  <c r="H97" i="61"/>
  <c r="G55" i="81"/>
  <c r="I52" i="80"/>
  <c r="N101" i="65"/>
  <c r="H103" i="51"/>
  <c r="D9" i="92"/>
  <c r="E83" i="43"/>
  <c r="J30" i="80"/>
  <c r="M16" i="81"/>
  <c r="E23" i="77"/>
  <c r="F53" i="71"/>
  <c r="J42" i="45"/>
  <c r="G85" i="90"/>
  <c r="J34" i="94"/>
  <c r="N104" i="62"/>
  <c r="G18" i="78"/>
  <c r="N31" i="83"/>
  <c r="I70"/>
  <c r="M40" i="48"/>
  <c r="K97" i="34"/>
  <c r="H29" i="82"/>
  <c r="E74" i="25"/>
  <c r="J85"/>
  <c r="N12" i="72"/>
  <c r="K19" i="66"/>
  <c r="J51" i="41"/>
  <c r="E32" i="66"/>
  <c r="J44" i="89"/>
  <c r="L11" i="62"/>
  <c r="G4" i="57"/>
  <c r="F34" i="50"/>
  <c r="E64" i="84"/>
  <c r="O31" i="27"/>
  <c r="G82" i="78"/>
  <c r="O51" i="29"/>
  <c r="H61" i="73"/>
  <c r="K18" i="54"/>
  <c r="D73" i="81"/>
  <c r="E30" i="60"/>
  <c r="N31" i="55"/>
  <c r="M16" i="46"/>
  <c r="M58" i="54"/>
  <c r="N42" i="55"/>
  <c r="O37" i="54"/>
  <c r="J82" i="81"/>
  <c r="L40" i="25"/>
  <c r="F51" i="33"/>
  <c r="H71" i="58"/>
  <c r="D107" i="92"/>
  <c r="K53" i="71"/>
  <c r="O94" i="54"/>
  <c r="G58" i="69"/>
  <c r="F40" i="50"/>
  <c r="M56" i="40"/>
  <c r="N20" i="32"/>
  <c r="D85" i="42"/>
  <c r="N47" i="44"/>
  <c r="G17" i="89"/>
  <c r="O34" i="86"/>
  <c r="I83" i="25"/>
  <c r="L73" i="66"/>
  <c r="H52" i="75"/>
  <c r="M25" i="47"/>
  <c r="J79" i="87"/>
  <c r="F49" i="32"/>
  <c r="J49" i="89"/>
  <c r="I45" i="71"/>
  <c r="J34" i="93"/>
  <c r="G9" i="30"/>
  <c r="E20" i="80"/>
  <c r="O20" i="36"/>
  <c r="O70" i="82"/>
  <c r="L52" i="91"/>
  <c r="F103" i="19"/>
  <c r="M42" i="30"/>
  <c r="H62" i="66"/>
  <c r="O85" i="43"/>
  <c r="O26" i="75"/>
  <c r="H71" i="48"/>
  <c r="E94" i="94"/>
  <c r="I103" i="62"/>
  <c r="E28" i="56"/>
  <c r="N80" i="66"/>
  <c r="H95" i="83"/>
  <c r="K53" i="29"/>
  <c r="E61" i="54"/>
  <c r="K7" i="84"/>
  <c r="M89" i="83"/>
  <c r="G71" i="34"/>
  <c r="L13" i="53"/>
  <c r="D65" i="89"/>
  <c r="F71" i="65"/>
  <c r="G36" i="58"/>
  <c r="J29" i="51"/>
  <c r="E98" i="45"/>
  <c r="E54" i="42"/>
  <c r="J8" i="89"/>
  <c r="N97" i="36"/>
  <c r="L55" i="33"/>
  <c r="D38" i="73"/>
  <c r="E52" i="83"/>
  <c r="J36" i="63"/>
  <c r="D88" i="49"/>
  <c r="G20" i="59"/>
  <c r="F41" i="60"/>
  <c r="J85" i="29"/>
  <c r="G53" i="36"/>
  <c r="L101" i="38"/>
  <c r="L12" i="92"/>
  <c r="G107" i="89"/>
  <c r="H17" i="86"/>
  <c r="K35" i="34"/>
  <c r="D74" i="29"/>
  <c r="G43" i="79"/>
  <c r="O52" i="39"/>
  <c r="I56" i="44"/>
  <c r="O9" i="41"/>
  <c r="J14" i="32"/>
  <c r="D28" i="79"/>
  <c r="J49" i="55"/>
  <c r="J46" i="26"/>
  <c r="N95" i="91"/>
  <c r="L19" i="43"/>
  <c r="K43" i="93"/>
  <c r="H47" i="36"/>
  <c r="E10" i="44"/>
  <c r="F56" i="45"/>
  <c r="M40" i="67"/>
  <c r="L43" i="94"/>
  <c r="F106" i="44"/>
  <c r="D41" i="19"/>
  <c r="O56" i="78"/>
  <c r="K62" i="53"/>
  <c r="D45" i="58"/>
  <c r="G13" i="94"/>
  <c r="L89" i="19"/>
  <c r="N59" i="92"/>
  <c r="D6" i="32"/>
  <c r="K17" i="36"/>
  <c r="D36" i="58"/>
  <c r="N17" i="57"/>
  <c r="E61" i="27"/>
  <c r="J67" i="63"/>
  <c r="I24" i="81"/>
  <c r="I9" i="64"/>
  <c r="D97" i="89"/>
  <c r="H12" i="82"/>
  <c r="G61" i="56"/>
  <c r="D94" i="19"/>
  <c r="L101" i="44"/>
  <c r="J42" i="76"/>
  <c r="I51" i="94"/>
  <c r="M33" i="60"/>
  <c r="I89" i="78"/>
  <c r="K83" i="80"/>
  <c r="D33" i="81"/>
  <c r="H10" i="67"/>
  <c r="I44" i="32"/>
  <c r="O46" i="41"/>
  <c r="I33" i="75"/>
  <c r="D20" i="27"/>
  <c r="G20" i="26"/>
  <c r="K32" i="59"/>
  <c r="E89" i="45"/>
  <c r="D92" i="58"/>
  <c r="E91" i="46"/>
  <c r="G79" i="55"/>
  <c r="L58" i="60"/>
  <c r="F53" i="81"/>
  <c r="J55" i="83"/>
  <c r="I58" i="92"/>
  <c r="L34" i="59"/>
  <c r="K58" i="33"/>
  <c r="N5" i="44"/>
  <c r="E4" i="61"/>
  <c r="K25" i="30"/>
  <c r="M30" i="45"/>
  <c r="N89" i="84"/>
  <c r="G23" i="58"/>
  <c r="K92" i="29"/>
  <c r="E86" i="32"/>
  <c r="M48" i="40"/>
  <c r="E34" i="74"/>
  <c r="F33" i="90"/>
  <c r="D61" i="42"/>
  <c r="D94" i="83"/>
  <c r="L86" i="33"/>
  <c r="F10" i="75"/>
  <c r="G55" i="49"/>
  <c r="H80" i="64"/>
  <c r="K14" i="74"/>
  <c r="F70" i="56"/>
  <c r="M89" i="19"/>
  <c r="E54" i="48"/>
  <c r="I24" i="67"/>
  <c r="M74" i="75"/>
  <c r="G107" i="49"/>
  <c r="L82" i="30"/>
  <c r="I45" i="87"/>
  <c r="E38" i="56"/>
  <c r="K26" i="86"/>
  <c r="M12" i="65"/>
  <c r="O22" i="77"/>
  <c r="I4" i="50"/>
  <c r="L17" i="67"/>
  <c r="G29" i="90"/>
  <c r="H59"/>
  <c r="N74" i="61"/>
  <c r="N82" i="27"/>
  <c r="G47" i="51"/>
  <c r="D26" i="66"/>
  <c r="J24" i="33"/>
  <c r="O9" i="55"/>
  <c r="N7" i="25"/>
  <c r="M88" i="44"/>
  <c r="G97" i="86"/>
  <c r="K24" i="70"/>
  <c r="O27" i="43"/>
  <c r="J27" i="50"/>
  <c r="N11" i="64"/>
  <c r="E67" i="92"/>
  <c r="G74" i="78"/>
  <c r="G15" i="36"/>
  <c r="G12" i="90"/>
  <c r="M59" i="61"/>
  <c r="O64" i="58"/>
  <c r="L92" i="35"/>
  <c r="M104" i="29"/>
  <c r="H7" i="50"/>
  <c r="F61" i="80"/>
  <c r="K10" i="86"/>
  <c r="H14" i="75"/>
  <c r="M30" i="71"/>
  <c r="H4" i="81"/>
  <c r="O34" i="49"/>
  <c r="I77" i="85"/>
  <c r="E22" i="40"/>
  <c r="H4" i="56"/>
  <c r="D21" i="27"/>
  <c r="K7" i="53"/>
  <c r="K5" i="62"/>
  <c r="I103" i="84"/>
  <c r="F46" i="56"/>
  <c r="I40" i="89"/>
  <c r="K47" i="60"/>
  <c r="F17" i="30"/>
  <c r="L86" i="71"/>
  <c r="F89" i="44"/>
  <c r="O30" i="63"/>
  <c r="O36" i="94"/>
  <c r="J20" i="33"/>
  <c r="E89" i="58"/>
  <c r="L6" i="73"/>
  <c r="D97" i="67"/>
  <c r="E18" i="94"/>
  <c r="H55" i="34"/>
  <c r="K68" i="44"/>
  <c r="O12" i="69"/>
  <c r="D32" i="42"/>
  <c r="I89" i="50"/>
  <c r="K14" i="78"/>
  <c r="N9" i="56"/>
  <c r="H10" i="27"/>
  <c r="D5" i="50"/>
  <c r="O9" i="72"/>
  <c r="I73" i="74"/>
  <c r="K80" i="55"/>
  <c r="G49" i="70"/>
  <c r="H71" i="66"/>
  <c r="O58" i="46"/>
  <c r="K47" i="87"/>
  <c r="I24" i="79"/>
  <c r="H40" i="80"/>
  <c r="D19" i="35"/>
  <c r="L32" i="32"/>
  <c r="E29" i="77"/>
  <c r="H70" i="62"/>
  <c r="E33" i="90"/>
  <c r="G100" i="85"/>
  <c r="O50" i="61"/>
  <c r="H97" i="85"/>
  <c r="M101" i="62"/>
  <c r="F43" i="75"/>
  <c r="N65" i="81"/>
  <c r="G48" i="93"/>
  <c r="E77" i="65"/>
  <c r="K31" i="89"/>
  <c r="H91" i="29"/>
  <c r="F53" i="78"/>
  <c r="I16" i="60"/>
  <c r="J36" i="71"/>
  <c r="L47" i="62"/>
  <c r="N44" i="54"/>
  <c r="J44" i="47"/>
  <c r="J91" i="34"/>
  <c r="E50" i="19"/>
  <c r="M49" i="91"/>
  <c r="H22" i="19"/>
  <c r="E47" i="68"/>
  <c r="O35" i="93"/>
  <c r="D94" i="41"/>
  <c r="J18" i="70"/>
  <c r="N98" i="44"/>
  <c r="K85" i="67"/>
  <c r="O29" i="70"/>
  <c r="E83" i="93"/>
  <c r="O22" i="33"/>
  <c r="K47" i="64"/>
  <c r="E94" i="93"/>
  <c r="F86" i="82"/>
  <c r="K13"/>
  <c r="N5" i="75"/>
  <c r="M35" i="55"/>
  <c r="I92" i="90"/>
  <c r="D13" i="25"/>
  <c r="J54" i="48"/>
  <c r="N22" i="64"/>
  <c r="I48" i="81"/>
  <c r="E106" i="82"/>
  <c r="G91" i="89"/>
  <c r="I48" i="29"/>
  <c r="N10" i="73"/>
  <c r="J40" i="87"/>
  <c r="M68" i="58"/>
  <c r="M17" i="32"/>
  <c r="F104" i="77"/>
  <c r="I92" i="69"/>
  <c r="L76" i="83"/>
  <c r="M32" i="32"/>
  <c r="M98" i="65"/>
  <c r="I82" i="75"/>
  <c r="H34" i="45"/>
  <c r="H71" i="25"/>
  <c r="I83" i="83"/>
  <c r="L103"/>
  <c r="E50" i="85"/>
  <c r="I28" i="59"/>
  <c r="J24" i="41"/>
  <c r="O83" i="25"/>
  <c r="I38" i="51"/>
  <c r="K48" i="56"/>
  <c r="F45" i="61"/>
  <c r="M21" i="19"/>
  <c r="L64" i="69"/>
  <c r="E9" i="39"/>
  <c r="G15" i="49"/>
  <c r="G34" i="48"/>
  <c r="I19" i="76"/>
  <c r="K6" i="46"/>
  <c r="L79" i="84"/>
  <c r="L58" i="36"/>
  <c r="F68" i="25"/>
  <c r="J30" i="72"/>
  <c r="F89" i="49"/>
  <c r="I52" i="63"/>
  <c r="H94" i="29"/>
  <c r="L103" i="44"/>
  <c r="N64" i="90"/>
  <c r="L48" i="64"/>
  <c r="D74" i="57"/>
  <c r="O45" i="56"/>
  <c r="D48" i="90"/>
  <c r="D107" i="40"/>
  <c r="H35" i="76"/>
  <c r="E106" i="27"/>
  <c r="K104" i="80"/>
  <c r="J74" i="76"/>
  <c r="N37" i="34"/>
  <c r="F18" i="49"/>
  <c r="F103" i="87"/>
  <c r="L33" i="65"/>
  <c r="D106" i="89"/>
  <c r="K85" i="38"/>
  <c r="M20" i="92"/>
  <c r="I73" i="50"/>
  <c r="I98" i="61"/>
  <c r="I77" i="44"/>
  <c r="J95" i="51"/>
  <c r="K42" i="81"/>
  <c r="H49" i="77"/>
  <c r="J17" i="66"/>
  <c r="G73" i="74"/>
  <c r="K48" i="70"/>
  <c r="G83" i="26"/>
  <c r="D65" i="72"/>
  <c r="G52" i="19"/>
  <c r="M92" i="59"/>
  <c r="D21" i="26"/>
  <c r="N9" i="84"/>
  <c r="L51" i="53"/>
  <c r="M89" i="25"/>
  <c r="F14" i="90"/>
  <c r="L20" i="30"/>
  <c r="F76" i="48"/>
  <c r="N39" i="91"/>
  <c r="M23" i="67"/>
  <c r="O26" i="39"/>
  <c r="G49" i="74"/>
  <c r="J46" i="29"/>
  <c r="J20" i="34"/>
  <c r="E18" i="33"/>
  <c r="J14" i="82"/>
  <c r="G39" i="50"/>
  <c r="G56"/>
  <c r="J19" i="38"/>
  <c r="K73" i="61"/>
  <c r="O31" i="36"/>
  <c r="F76" i="78"/>
  <c r="J59" i="34"/>
  <c r="G56" i="71"/>
  <c r="K86" i="70"/>
  <c r="N85" i="56"/>
  <c r="K51" i="41"/>
  <c r="L55" i="84"/>
  <c r="L8" i="33"/>
  <c r="I36" i="58"/>
  <c r="O30" i="46"/>
  <c r="L5"/>
  <c r="F38" i="43"/>
  <c r="N88" i="80"/>
  <c r="M11" i="53"/>
  <c r="D50" i="77"/>
  <c r="K31" i="36"/>
  <c r="I101" i="43"/>
  <c r="K58" i="87"/>
  <c r="I13" i="62"/>
  <c r="F70" i="41"/>
  <c r="G61" i="82"/>
  <c r="H50" i="71"/>
  <c r="G107" i="79"/>
  <c r="H79" i="36"/>
  <c r="H37" i="94"/>
  <c r="L79" i="47"/>
  <c r="J83" i="34"/>
  <c r="O52" i="46"/>
  <c r="D51" i="61"/>
  <c r="J59" i="89"/>
  <c r="M89" i="75"/>
  <c r="E59" i="90"/>
  <c r="J89" i="69"/>
  <c r="H17" i="29"/>
  <c r="G67" i="87"/>
  <c r="L5" i="64"/>
  <c r="F88" i="89"/>
  <c r="N50" i="45"/>
  <c r="N22" i="72"/>
  <c r="L70" i="86"/>
  <c r="L85" i="66"/>
  <c r="J103" i="29"/>
  <c r="N18" i="56"/>
  <c r="J54" i="91"/>
  <c r="K46" i="44"/>
  <c r="H65" i="60"/>
  <c r="H22" i="79"/>
  <c r="E85" i="52"/>
  <c r="F59" i="71"/>
  <c r="E21" i="49"/>
  <c r="F36" i="39"/>
  <c r="E77" i="25"/>
  <c r="J91" i="63"/>
  <c r="F25" i="82"/>
  <c r="K82" i="65"/>
  <c r="I19" i="26"/>
  <c r="O48" i="81"/>
  <c r="F51" i="69"/>
  <c r="M86" i="66"/>
  <c r="H77" i="85"/>
  <c r="D104" i="63"/>
  <c r="D46" i="69"/>
  <c r="G35" i="41"/>
  <c r="K103" i="93"/>
  <c r="O12"/>
  <c r="L16" i="94"/>
  <c r="D32" i="55"/>
  <c r="N65" i="83"/>
  <c r="E59" i="80"/>
  <c r="I49" i="77"/>
  <c r="J48" i="78"/>
  <c r="O88" i="32"/>
  <c r="D41" i="82"/>
  <c r="K74" i="38"/>
  <c r="M14" i="53"/>
  <c r="M25" i="63"/>
  <c r="M23" i="82"/>
  <c r="G23" i="85"/>
  <c r="I41" i="62"/>
  <c r="D29" i="73"/>
  <c r="M4" i="64"/>
  <c r="F47" i="40"/>
  <c r="F43" i="67"/>
  <c r="J94" i="74"/>
  <c r="M6" i="51"/>
  <c r="G55" i="34"/>
  <c r="H65" i="75"/>
  <c r="N43" i="62"/>
  <c r="H18" i="65"/>
  <c r="M50" i="39"/>
  <c r="K44" i="93"/>
  <c r="K33" i="77"/>
  <c r="L6" i="33"/>
  <c r="N34" i="82"/>
  <c r="H39" i="47"/>
  <c r="F58" i="86"/>
  <c r="E8" i="53"/>
  <c r="E103" i="49"/>
  <c r="N100" i="92"/>
  <c r="H92" i="72"/>
  <c r="F52" i="45"/>
  <c r="H16" i="73"/>
  <c r="H12" i="75"/>
  <c r="E76" i="40"/>
  <c r="O89" i="89"/>
  <c r="E15" i="85"/>
  <c r="G28" i="39"/>
  <c r="N51" i="57"/>
  <c r="H27" i="77"/>
  <c r="O107" i="94"/>
  <c r="J88" i="87"/>
  <c r="I28" i="33"/>
  <c r="J32" i="60"/>
  <c r="I45" i="66"/>
  <c r="O19" i="27"/>
  <c r="G80" i="93"/>
  <c r="O64" i="53"/>
  <c r="F32" i="27"/>
  <c r="D29" i="33"/>
  <c r="I17" i="34"/>
  <c r="I68" i="67"/>
  <c r="M15" i="32"/>
  <c r="K32" i="70"/>
  <c r="O46" i="66"/>
  <c r="D33" i="64"/>
  <c r="J100" i="29"/>
  <c r="G40" i="33"/>
  <c r="K71" i="82"/>
  <c r="N83" i="59"/>
  <c r="F106" i="77"/>
  <c r="K36" i="67"/>
  <c r="O103" i="73"/>
  <c r="J17" i="80"/>
  <c r="M106" i="92"/>
  <c r="J19" i="83"/>
  <c r="J79" i="47"/>
  <c r="N38" i="74"/>
  <c r="O27" i="38"/>
  <c r="J73" i="80"/>
  <c r="F92" i="63"/>
  <c r="J24" i="58"/>
  <c r="F31" i="90"/>
  <c r="F88" i="75"/>
  <c r="N106" i="72"/>
  <c r="D83" i="48"/>
  <c r="G37" i="56"/>
  <c r="H7" i="69"/>
  <c r="K106" i="56"/>
  <c r="O54" i="64"/>
  <c r="D33" i="34"/>
  <c r="O31" i="72"/>
  <c r="I20" i="63"/>
  <c r="E29" i="76"/>
  <c r="O98" i="44"/>
  <c r="L22" i="68"/>
  <c r="K49" i="78"/>
  <c r="E106" i="26"/>
  <c r="K42" i="56"/>
  <c r="J71" i="44"/>
  <c r="M35" i="47"/>
  <c r="G91" i="54"/>
  <c r="I9" i="35"/>
  <c r="F61" i="36"/>
  <c r="K57" i="53"/>
  <c r="E103" i="47"/>
  <c r="F76" i="39"/>
  <c r="H76" i="74"/>
  <c r="N5" i="19"/>
  <c r="K40" i="69"/>
  <c r="D100" i="49"/>
  <c r="N29" i="82"/>
  <c r="L43" i="57"/>
  <c r="G29" i="87"/>
  <c r="H35" i="44"/>
  <c r="F23" i="71"/>
  <c r="L68" i="32"/>
  <c r="E10" i="33"/>
  <c r="K23" i="75"/>
  <c r="F34"/>
  <c r="K39" i="77"/>
  <c r="G7" i="40"/>
  <c r="M28" i="89"/>
  <c r="D36" i="60"/>
  <c r="D14" i="39"/>
  <c r="D31" i="78"/>
  <c r="J5" i="54"/>
  <c r="H82" i="82"/>
  <c r="M40" i="73"/>
  <c r="H73" i="44"/>
  <c r="F62" i="64"/>
  <c r="G103" i="90"/>
  <c r="G98" i="39"/>
  <c r="O55" i="27"/>
  <c r="G33" i="49"/>
  <c r="N71" i="29"/>
  <c r="O101" i="93"/>
  <c r="N95" i="35"/>
  <c r="N10" i="53"/>
  <c r="F71" i="67"/>
  <c r="J43" i="35"/>
  <c r="G35" i="81"/>
  <c r="J98" i="35"/>
  <c r="F74" i="82"/>
  <c r="J30" i="50"/>
  <c r="G98" i="78"/>
  <c r="K67" i="71"/>
  <c r="D25" i="32"/>
  <c r="K80" i="30"/>
  <c r="G13" i="35"/>
  <c r="L13" i="90"/>
  <c r="J71" i="34"/>
  <c r="F101" i="66"/>
  <c r="L9" i="63"/>
  <c r="M22" i="89"/>
  <c r="J57" i="36"/>
  <c r="L86" i="44"/>
  <c r="L8" i="82"/>
  <c r="N11" i="76"/>
  <c r="N7" i="81"/>
  <c r="E24" i="79"/>
  <c r="M55" i="46"/>
  <c r="O8" i="94"/>
  <c r="N79" i="32"/>
  <c r="O42" i="55"/>
  <c r="F89" i="66"/>
  <c r="K34" i="75"/>
  <c r="E6"/>
  <c r="I31" i="69"/>
  <c r="J48" i="64"/>
  <c r="H104" i="27"/>
  <c r="J59" i="80"/>
  <c r="I17" i="29"/>
  <c r="K88" i="39"/>
  <c r="E57" i="27"/>
  <c r="N34" i="70"/>
  <c r="E83" i="61"/>
  <c r="M49" i="32"/>
  <c r="D20" i="67"/>
  <c r="K85" i="80"/>
  <c r="D7" i="39"/>
  <c r="O59" i="70"/>
  <c r="J49" i="54"/>
  <c r="E56" i="52"/>
  <c r="K4" i="81"/>
  <c r="O71" i="82"/>
  <c r="D64" i="32"/>
  <c r="D4" i="63"/>
  <c r="F86" i="69"/>
  <c r="I31" i="43"/>
  <c r="H22" i="49"/>
  <c r="D8" i="54"/>
  <c r="J23" i="66"/>
  <c r="F35" i="80"/>
  <c r="K103" i="53"/>
  <c r="H38" i="72"/>
  <c r="I59" i="47"/>
  <c r="F33" i="69"/>
  <c r="N73" i="57"/>
  <c r="L22" i="65"/>
  <c r="I53" i="87"/>
  <c r="M29" i="84"/>
  <c r="J43" i="59"/>
  <c r="E4" i="93"/>
  <c r="K34" i="26"/>
  <c r="O59" i="41"/>
  <c r="L14" i="84"/>
  <c r="G28" i="82"/>
  <c r="L64" i="91"/>
  <c r="F73" i="84"/>
  <c r="D6" i="25"/>
  <c r="D8" i="35"/>
  <c r="E67" i="86"/>
  <c r="N26" i="57"/>
  <c r="M6" i="46"/>
  <c r="G82" i="26"/>
  <c r="M51" i="84"/>
  <c r="G39" i="69"/>
  <c r="E89" i="34"/>
  <c r="L23" i="87"/>
  <c r="H58" i="84"/>
  <c r="I5" i="49"/>
  <c r="L29" i="54"/>
  <c r="I79" i="25"/>
  <c r="H40" i="52"/>
  <c r="H8" i="65"/>
  <c r="G11" i="34"/>
  <c r="N17" i="74"/>
  <c r="K31" i="48"/>
  <c r="N86" i="81"/>
  <c r="G33" i="38"/>
  <c r="M104" i="93"/>
  <c r="G24" i="59"/>
  <c r="M79" i="94"/>
  <c r="G48" i="49"/>
  <c r="I64" i="27"/>
  <c r="O65" i="66"/>
  <c r="F45" i="39"/>
  <c r="D28" i="65"/>
  <c r="N21" i="51"/>
  <c r="H30" i="84"/>
  <c r="D77" i="60"/>
  <c r="H5" i="39"/>
  <c r="G89" i="32"/>
  <c r="F17" i="73"/>
  <c r="F11" i="44"/>
  <c r="E92" i="59"/>
  <c r="K16" i="82"/>
  <c r="N49" i="30"/>
  <c r="N103" i="41"/>
  <c r="O23" i="48"/>
  <c r="F85" i="72"/>
  <c r="M61" i="81"/>
  <c r="I9" i="50"/>
  <c r="K43" i="47"/>
  <c r="H56" i="46"/>
  <c r="N43" i="36"/>
  <c r="F52" i="70"/>
  <c r="G76" i="84"/>
  <c r="G73" i="26"/>
  <c r="E77" i="45"/>
  <c r="F18" i="68"/>
  <c r="H49" i="89"/>
  <c r="O40" i="56"/>
  <c r="G97" i="41"/>
  <c r="G14" i="25"/>
  <c r="L22" i="32"/>
  <c r="F22" i="65"/>
  <c r="M47" i="92"/>
  <c r="J13" i="45"/>
  <c r="I42" i="85"/>
  <c r="J38" i="69"/>
  <c r="D79" i="44"/>
  <c r="F26" i="41"/>
  <c r="F68" i="74"/>
  <c r="E100" i="69"/>
  <c r="E50" i="82"/>
  <c r="I65" i="35"/>
  <c r="G52"/>
  <c r="M7" i="69"/>
  <c r="J51" i="51"/>
  <c r="D104" i="81"/>
  <c r="E83" i="90"/>
  <c r="E101" i="78"/>
  <c r="O67" i="26"/>
  <c r="M55" i="19"/>
  <c r="D49" i="66"/>
  <c r="M56" i="81"/>
  <c r="M26" i="84"/>
  <c r="N19" i="53"/>
  <c r="G23" i="84"/>
  <c r="N42" i="47"/>
  <c r="J33" i="41"/>
  <c r="N14" i="91"/>
  <c r="D21" i="64"/>
  <c r="L24" i="65"/>
  <c r="E73" i="83"/>
  <c r="D71" i="35"/>
  <c r="I45" i="92"/>
  <c r="J65" i="74"/>
  <c r="M44" i="94"/>
  <c r="J25" i="40"/>
  <c r="J25" i="47"/>
  <c r="M44" i="34"/>
  <c r="F44" i="78"/>
  <c r="K86" i="29"/>
  <c r="K28" i="66"/>
  <c r="I14" i="43"/>
  <c r="J25" i="67"/>
  <c r="H20" i="58"/>
  <c r="E31" i="56"/>
  <c r="E45" i="65"/>
  <c r="E71" i="82"/>
  <c r="G100" i="53"/>
  <c r="O8" i="76"/>
  <c r="O56" i="68"/>
  <c r="E15" i="64"/>
  <c r="D55" i="63"/>
  <c r="J56" i="49"/>
  <c r="L25" i="57"/>
  <c r="G41" i="19"/>
  <c r="G43" i="40"/>
  <c r="F74" i="66"/>
  <c r="N28" i="26"/>
  <c r="L91" i="63"/>
  <c r="K44" i="68"/>
  <c r="E27" i="76"/>
  <c r="D33" i="39"/>
  <c r="J91" i="51"/>
  <c r="F39" i="27"/>
  <c r="E42" i="51"/>
  <c r="L26" i="91"/>
  <c r="L51" i="64"/>
  <c r="M106" i="71"/>
  <c r="J73" i="34"/>
  <c r="F80" i="69"/>
  <c r="O104" i="68"/>
  <c r="I21" i="57"/>
  <c r="K86" i="45"/>
  <c r="O85" i="69"/>
  <c r="E76" i="58"/>
  <c r="I57" i="67"/>
  <c r="H8" i="93"/>
  <c r="E43" i="57"/>
  <c r="L79" i="93"/>
  <c r="E74" i="27"/>
  <c r="N43" i="78"/>
  <c r="H89" i="94"/>
  <c r="G7" i="38"/>
  <c r="G61" i="43"/>
  <c r="I41" i="67"/>
  <c r="D65" i="29"/>
  <c r="J24" i="80"/>
  <c r="J12" i="33"/>
  <c r="I58" i="79"/>
  <c r="L88" i="36"/>
  <c r="L88" i="33"/>
  <c r="F91" i="74"/>
  <c r="G83" i="48"/>
  <c r="K14" i="91"/>
  <c r="O97" i="82"/>
  <c r="L37" i="72"/>
  <c r="E106" i="19"/>
  <c r="K12" i="62"/>
  <c r="K32" i="54"/>
  <c r="I21" i="44"/>
  <c r="O39" i="64"/>
  <c r="D27" i="89"/>
  <c r="I36" i="30"/>
  <c r="H19" i="36"/>
  <c r="G65" i="60"/>
  <c r="N42" i="82"/>
  <c r="G36" i="44"/>
  <c r="O43" i="38"/>
  <c r="D34" i="91"/>
  <c r="F61" i="42"/>
  <c r="O17" i="84"/>
  <c r="J97" i="79"/>
  <c r="I39" i="82"/>
  <c r="D56" i="55"/>
  <c r="J30" i="54"/>
  <c r="N79" i="48"/>
  <c r="M88" i="33"/>
  <c r="F61" i="53"/>
  <c r="F17" i="81"/>
  <c r="D19" i="74"/>
  <c r="M22" i="48"/>
  <c r="L15" i="29"/>
  <c r="M88" i="40"/>
  <c r="M44" i="29"/>
  <c r="N85" i="46"/>
  <c r="N35" i="58"/>
  <c r="K85" i="56"/>
  <c r="M82" i="77"/>
  <c r="G95" i="71"/>
  <c r="H50" i="74"/>
  <c r="J42" i="77"/>
  <c r="L33" i="83"/>
  <c r="E71" i="84"/>
  <c r="I28" i="75"/>
  <c r="L88" i="65"/>
  <c r="E14" i="43"/>
  <c r="D17" i="69"/>
  <c r="J13" i="94"/>
  <c r="E30" i="76"/>
  <c r="L46" i="73"/>
  <c r="O74" i="38"/>
  <c r="D59" i="45"/>
  <c r="H45" i="79"/>
  <c r="G65" i="49"/>
  <c r="D36" i="79"/>
  <c r="N21" i="84"/>
  <c r="E23" i="72"/>
  <c r="I24" i="39"/>
  <c r="F22" i="32"/>
  <c r="O28" i="48"/>
  <c r="K24" i="71"/>
  <c r="L82" i="91"/>
  <c r="D77" i="36"/>
  <c r="L41" i="68"/>
  <c r="E67" i="71"/>
  <c r="J82" i="35"/>
  <c r="M12" i="25"/>
  <c r="F42" i="87"/>
  <c r="L61" i="64"/>
  <c r="E100" i="25"/>
  <c r="H65" i="43"/>
  <c r="D4" i="33"/>
  <c r="L83" i="43"/>
  <c r="K30" i="41"/>
  <c r="G95" i="61"/>
  <c r="H18" i="26"/>
  <c r="L37" i="33"/>
  <c r="E70" i="56"/>
  <c r="H107" i="29"/>
  <c r="I16" i="35"/>
  <c r="O50" i="89"/>
  <c r="J47" i="61"/>
  <c r="O53" i="77"/>
  <c r="F54" i="64"/>
  <c r="M36" i="91"/>
  <c r="K9" i="77"/>
  <c r="I19" i="59"/>
  <c r="L103" i="64"/>
  <c r="E100" i="82"/>
  <c r="F71" i="84"/>
  <c r="G62" i="91"/>
  <c r="L21" i="56"/>
  <c r="K21" i="72"/>
  <c r="O37" i="43"/>
  <c r="J33" i="44"/>
  <c r="F34" i="51"/>
  <c r="E83" i="55"/>
  <c r="L21" i="57"/>
  <c r="O12" i="36"/>
  <c r="J47" i="72"/>
  <c r="K62" i="69"/>
  <c r="I42" i="66"/>
  <c r="G101" i="91"/>
  <c r="M79" i="53"/>
  <c r="N10" i="46"/>
  <c r="K29" i="60"/>
  <c r="K26" i="29"/>
  <c r="D97" i="53"/>
  <c r="I85" i="40"/>
  <c r="N79" i="66"/>
  <c r="E38" i="74"/>
  <c r="O22" i="38"/>
  <c r="O91" i="32"/>
  <c r="O98" i="25"/>
  <c r="I37" i="46"/>
  <c r="N85" i="32"/>
  <c r="J24" i="75"/>
  <c r="L89" i="25"/>
  <c r="O4" i="38"/>
  <c r="F79" i="82"/>
  <c r="H7" i="26"/>
  <c r="D95" i="94"/>
  <c r="K59" i="86"/>
  <c r="K14" i="39"/>
  <c r="D47" i="73"/>
  <c r="L26" i="64"/>
  <c r="F47" i="39"/>
  <c r="K100" i="19"/>
  <c r="L76" i="43"/>
  <c r="N45" i="61"/>
  <c r="H52" i="93"/>
  <c r="D10" i="91"/>
  <c r="M11" i="49"/>
  <c r="I35" i="30"/>
  <c r="G46" i="76"/>
  <c r="I79" i="62"/>
  <c r="M95" i="61"/>
  <c r="E50" i="32"/>
  <c r="D61" i="26"/>
  <c r="N14" i="46"/>
  <c r="E34" i="77"/>
  <c r="I83" i="76"/>
  <c r="E21" i="87"/>
  <c r="L16" i="80"/>
  <c r="K6" i="54"/>
  <c r="F54" i="34"/>
  <c r="M9" i="89"/>
  <c r="L51" i="26"/>
  <c r="E19" i="43"/>
  <c r="D10" i="74"/>
  <c r="J22" i="35"/>
  <c r="O7" i="40"/>
  <c r="N31" i="90"/>
  <c r="M8" i="92"/>
  <c r="N19" i="25"/>
  <c r="D45" i="55"/>
  <c r="J71" i="39"/>
  <c r="F83" i="68"/>
  <c r="J35" i="48"/>
  <c r="F56" i="84"/>
  <c r="N20" i="53"/>
  <c r="O86" i="91"/>
  <c r="O8" i="60"/>
  <c r="N86" i="82"/>
  <c r="K76" i="72"/>
  <c r="I22" i="57"/>
  <c r="J25" i="84"/>
  <c r="K34" i="86"/>
  <c r="D68" i="83"/>
  <c r="H83" i="80"/>
  <c r="O14" i="35"/>
  <c r="L51" i="93"/>
  <c r="E80" i="26"/>
  <c r="O21" i="61"/>
  <c r="H89" i="46"/>
  <c r="J77" i="66"/>
  <c r="I31" i="92"/>
  <c r="I32" i="43"/>
  <c r="O56" i="86"/>
  <c r="O35" i="64"/>
  <c r="F39" i="81"/>
  <c r="K36" i="53"/>
  <c r="J11" i="34"/>
  <c r="D20" i="59"/>
  <c r="E27" i="66"/>
  <c r="E37" i="64"/>
  <c r="G19" i="78"/>
  <c r="K39" i="92"/>
  <c r="G4" i="62"/>
  <c r="K38" i="43"/>
  <c r="H24" i="85"/>
  <c r="I5" i="41"/>
  <c r="H64" i="75"/>
  <c r="H47" i="29"/>
  <c r="H41"/>
  <c r="E13" i="73"/>
  <c r="G51" i="78"/>
  <c r="M29" i="72"/>
  <c r="K97" i="80"/>
  <c r="J44" i="72"/>
  <c r="L38" i="67"/>
  <c r="I58" i="40"/>
  <c r="N107" i="55"/>
  <c r="J56" i="27"/>
  <c r="G68" i="40"/>
  <c r="G45" i="49"/>
  <c r="G106" i="26"/>
  <c r="F51"/>
  <c r="N9" i="83"/>
  <c r="K86" i="53"/>
  <c r="L56" i="89"/>
  <c r="G15" i="76"/>
  <c r="M88" i="81"/>
  <c r="H43" i="59"/>
  <c r="O36" i="56"/>
  <c r="L106" i="76"/>
  <c r="J98" i="59"/>
  <c r="I85"/>
  <c r="K13" i="68"/>
  <c r="E95" i="48"/>
  <c r="O92" i="77"/>
  <c r="E52" i="70"/>
  <c r="O13" i="30"/>
  <c r="G13" i="25"/>
  <c r="H103" i="19"/>
  <c r="E13" i="30"/>
  <c r="O68" i="68"/>
  <c r="G26" i="90"/>
  <c r="E59" i="38"/>
  <c r="G28" i="55"/>
  <c r="O37" i="93"/>
  <c r="M20" i="58"/>
  <c r="F65" i="67"/>
  <c r="J9" i="83"/>
  <c r="O77" i="40"/>
  <c r="O19" i="58"/>
  <c r="M34" i="83"/>
  <c r="F70" i="43"/>
  <c r="G32" i="90"/>
  <c r="G67" i="79"/>
  <c r="L86" i="75"/>
  <c r="G4" i="36"/>
  <c r="H57" i="48"/>
  <c r="J27" i="64"/>
  <c r="G44" i="70"/>
  <c r="J46" i="94"/>
  <c r="J88" i="68"/>
  <c r="L106" i="93"/>
  <c r="F44" i="79"/>
  <c r="L41" i="76"/>
  <c r="M104" i="78"/>
  <c r="F8" i="64"/>
  <c r="K70" i="27"/>
  <c r="I9" i="39"/>
  <c r="K97" i="86"/>
  <c r="H16" i="61"/>
  <c r="F98" i="34"/>
  <c r="D16" i="68"/>
  <c r="G62" i="27"/>
  <c r="F91" i="32"/>
  <c r="E62" i="73"/>
  <c r="L64" i="36"/>
  <c r="I48" i="77"/>
  <c r="E89" i="71"/>
  <c r="E38" i="30"/>
  <c r="O13" i="57"/>
  <c r="J28" i="87"/>
  <c r="D73" i="39"/>
  <c r="H26" i="74"/>
  <c r="M22" i="39"/>
  <c r="L29" i="30"/>
  <c r="M86" i="83"/>
  <c r="N47" i="43"/>
  <c r="O97" i="83"/>
  <c r="E48" i="46"/>
  <c r="O54" i="19"/>
  <c r="H24" i="74"/>
  <c r="O59" i="75"/>
  <c r="F107" i="77"/>
  <c r="I71" i="46"/>
  <c r="I71" i="57"/>
  <c r="E71" i="73"/>
  <c r="L88" i="86"/>
  <c r="I23" i="50"/>
  <c r="K37" i="53"/>
  <c r="F45" i="84"/>
  <c r="E70" i="38"/>
  <c r="L46" i="53"/>
  <c r="G89" i="19"/>
  <c r="D43" i="63"/>
  <c r="J37" i="35"/>
  <c r="I6" i="91"/>
  <c r="M31" i="45"/>
  <c r="H10" i="56"/>
  <c r="D16" i="75"/>
  <c r="O85" i="83"/>
  <c r="D85" i="81"/>
  <c r="D100" i="60"/>
  <c r="G22"/>
  <c r="N51" i="72"/>
  <c r="D55" i="35"/>
  <c r="L52" i="57"/>
  <c r="H97"/>
  <c r="I18" i="35"/>
  <c r="G103" i="39"/>
  <c r="I22" i="55"/>
  <c r="K64" i="32"/>
  <c r="D52" i="30"/>
  <c r="E15" i="34"/>
  <c r="O6" i="67"/>
  <c r="D73" i="92"/>
  <c r="I91" i="64"/>
  <c r="J98" i="83"/>
  <c r="H24" i="54"/>
  <c r="E13" i="64"/>
  <c r="H25" i="58"/>
  <c r="E103" i="87"/>
  <c r="E26" i="43"/>
  <c r="J94" i="69"/>
  <c r="G32" i="27"/>
  <c r="O52" i="34"/>
  <c r="I44" i="29"/>
  <c r="N52" i="82"/>
  <c r="F37"/>
  <c r="O89" i="68"/>
  <c r="R14" i="96"/>
  <c r="H65" i="40"/>
  <c r="I45" i="19"/>
  <c r="M64" i="48"/>
  <c r="K25" i="83"/>
  <c r="I29" i="58"/>
  <c r="F33" i="30"/>
  <c r="F62" i="33"/>
  <c r="E94" i="71"/>
  <c r="E100" i="54"/>
  <c r="E45" i="60"/>
  <c r="M4" i="26"/>
  <c r="I101" i="29"/>
  <c r="G55" i="86"/>
  <c r="O13" i="62"/>
  <c r="N23" i="36"/>
  <c r="D103" i="46"/>
  <c r="G43" i="65"/>
  <c r="D25" i="41"/>
  <c r="F49" i="50"/>
  <c r="M19" i="48"/>
  <c r="E24" i="51"/>
  <c r="D59" i="87"/>
  <c r="J107" i="35"/>
  <c r="E22"/>
  <c r="J30" i="53"/>
  <c r="O79" i="80"/>
  <c r="J77" i="53"/>
  <c r="D47" i="87"/>
  <c r="F49" i="66"/>
  <c r="J20" i="25"/>
  <c r="M15" i="66"/>
  <c r="K59" i="32"/>
  <c r="H91" i="64"/>
  <c r="I21" i="53"/>
  <c r="G19" i="89"/>
  <c r="F62" i="93"/>
  <c r="D16" i="60"/>
  <c r="L44" i="57"/>
  <c r="G11" i="53"/>
  <c r="D85" i="71"/>
  <c r="H12" i="65"/>
  <c r="K16" i="45"/>
  <c r="K53" i="64"/>
  <c r="G76" i="52"/>
  <c r="I29" i="89"/>
  <c r="L22" i="36"/>
  <c r="O33" i="66"/>
  <c r="L53" i="35"/>
  <c r="L89"/>
  <c r="J23" i="79"/>
  <c r="O16" i="65"/>
  <c r="G12" i="50"/>
  <c r="M61" i="91"/>
  <c r="G10" i="36"/>
  <c r="F54" i="73"/>
  <c r="G5" i="78"/>
  <c r="K80" i="64"/>
  <c r="K20" i="80"/>
  <c r="L7" i="35"/>
  <c r="N94" i="41"/>
  <c r="I24" i="85"/>
  <c r="G30" i="64"/>
  <c r="H53" i="57"/>
  <c r="F64" i="75"/>
  <c r="J42" i="78"/>
  <c r="G21" i="51"/>
  <c r="L83" i="55"/>
  <c r="O86" i="75"/>
  <c r="J73" i="63"/>
  <c r="E100" i="27"/>
  <c r="H57" i="58"/>
  <c r="D68" i="44"/>
  <c r="G33" i="69"/>
  <c r="M44" i="48"/>
  <c r="N58" i="80"/>
  <c r="G79" i="43"/>
  <c r="F17" i="66"/>
  <c r="K71" i="58"/>
  <c r="E44" i="39"/>
  <c r="O54" i="56"/>
  <c r="H34" i="83"/>
  <c r="J42" i="58"/>
  <c r="I6" i="75"/>
  <c r="M47" i="89"/>
  <c r="M28" i="57"/>
  <c r="H45" i="19"/>
  <c r="K19" i="89"/>
  <c r="M23" i="76"/>
  <c r="I54" i="36"/>
  <c r="M104" i="34"/>
  <c r="D88" i="74"/>
  <c r="K106" i="46"/>
  <c r="O18" i="34"/>
  <c r="M71" i="89"/>
  <c r="O27" i="32"/>
  <c r="F106" i="82"/>
  <c r="K24" i="77"/>
  <c r="J42" i="59"/>
  <c r="G14" i="53"/>
  <c r="F37" i="58"/>
  <c r="J98" i="44"/>
  <c r="D38" i="50"/>
  <c r="I56" i="19"/>
  <c r="H18" i="74"/>
  <c r="D68" i="81"/>
  <c r="I61" i="48"/>
  <c r="D18" i="50"/>
  <c r="E45" i="84"/>
  <c r="G32" i="75"/>
  <c r="O35" i="56"/>
  <c r="J17" i="41"/>
  <c r="F76" i="25"/>
  <c r="M53" i="60"/>
  <c r="F73" i="45"/>
  <c r="G18" i="42"/>
  <c r="M76" i="72"/>
  <c r="J56" i="45"/>
  <c r="G38" i="81"/>
  <c r="F98" i="94"/>
  <c r="D10" i="82"/>
  <c r="N45" i="27"/>
  <c r="E10" i="47"/>
  <c r="G85" i="71"/>
  <c r="G24" i="33"/>
  <c r="N82" i="58"/>
  <c r="J46" i="79"/>
  <c r="N22" i="90"/>
  <c r="N49" i="61"/>
  <c r="O12" i="67"/>
  <c r="E7" i="64"/>
  <c r="H42" i="57"/>
  <c r="N4" i="90"/>
  <c r="D47" i="67"/>
  <c r="G88" i="87"/>
  <c r="K43" i="77"/>
  <c r="M6" i="48"/>
  <c r="L62" i="59"/>
  <c r="M9" i="71"/>
  <c r="N94" i="48"/>
  <c r="L18" i="91"/>
  <c r="I73" i="64"/>
  <c r="L59" i="87"/>
  <c r="O44" i="36"/>
  <c r="I56" i="51"/>
  <c r="F21" i="77"/>
  <c r="N37" i="91"/>
  <c r="I43" i="72"/>
  <c r="M57" i="91"/>
  <c r="I44" i="56"/>
  <c r="D91" i="79"/>
  <c r="I5" i="26"/>
  <c r="N11" i="73"/>
  <c r="K26" i="61"/>
  <c r="O16" i="47"/>
  <c r="M41" i="84"/>
  <c r="H22" i="64"/>
  <c r="I26" i="57"/>
  <c r="D54" i="78"/>
  <c r="D18" i="79"/>
  <c r="D83" i="50"/>
  <c r="L25" i="67"/>
  <c r="D76" i="61"/>
  <c r="F94" i="35"/>
  <c r="I74" i="75"/>
  <c r="D58" i="45"/>
  <c r="K21" i="35"/>
  <c r="K17" i="84"/>
  <c r="L38" i="77"/>
  <c r="I17" i="69"/>
  <c r="F4" i="19"/>
  <c r="D70" i="25"/>
  <c r="G64" i="84"/>
  <c r="H13" i="87"/>
  <c r="M36" i="59"/>
  <c r="G43" i="32"/>
  <c r="E28" i="46"/>
  <c r="N12" i="91"/>
  <c r="O49" i="74"/>
  <c r="O94" i="55"/>
  <c r="N107" i="67"/>
  <c r="N61" i="36"/>
  <c r="O56" i="76"/>
  <c r="F40" i="87"/>
  <c r="H20" i="91"/>
  <c r="G50" i="92"/>
  <c r="F98" i="42"/>
  <c r="I29" i="38"/>
  <c r="H106" i="72"/>
  <c r="E32" i="34"/>
  <c r="J21" i="64"/>
  <c r="O45"/>
  <c r="L98"/>
  <c r="O20" i="83"/>
  <c r="O15" i="87"/>
  <c r="G61" i="54"/>
  <c r="I52" i="62"/>
  <c r="F103" i="47"/>
  <c r="K42" i="83"/>
  <c r="J57" i="46"/>
  <c r="O83" i="81"/>
  <c r="K8" i="35"/>
  <c r="H59" i="48"/>
  <c r="O77" i="62"/>
  <c r="E39" i="76"/>
  <c r="I95" i="26"/>
  <c r="G31" i="50"/>
  <c r="E77" i="70"/>
  <c r="J25" i="38"/>
  <c r="H51" i="51"/>
  <c r="N56" i="25"/>
  <c r="L4" i="35"/>
  <c r="J68" i="80"/>
  <c r="J35" i="82"/>
  <c r="J46" i="72"/>
  <c r="J32" i="34"/>
  <c r="M50" i="86"/>
  <c r="I26" i="50"/>
  <c r="G74" i="51"/>
  <c r="L37" i="44"/>
  <c r="I38" i="45"/>
  <c r="I18" i="32"/>
  <c r="G8" i="36"/>
  <c r="I41" i="56"/>
  <c r="O37" i="32"/>
  <c r="K79" i="57"/>
  <c r="N71" i="91"/>
  <c r="H67" i="25"/>
  <c r="F34" i="83"/>
  <c r="H86" i="75"/>
  <c r="J64" i="41"/>
  <c r="N97" i="51"/>
  <c r="I31" i="60"/>
  <c r="J42" i="75"/>
  <c r="D38" i="64"/>
  <c r="E106" i="34"/>
  <c r="G62" i="25"/>
  <c r="I100" i="19"/>
  <c r="E82" i="51"/>
  <c r="L16" i="67"/>
  <c r="L77" i="91"/>
  <c r="G16" i="45"/>
  <c r="K71" i="68"/>
  <c r="J101" i="83"/>
  <c r="E88" i="85"/>
  <c r="I91" i="90"/>
  <c r="J91" i="50"/>
  <c r="M29" i="76"/>
  <c r="O48" i="75"/>
  <c r="N53" i="67"/>
  <c r="N58" i="83"/>
  <c r="M77" i="76"/>
  <c r="K88" i="94"/>
  <c r="F58" i="48"/>
  <c r="I94" i="35"/>
  <c r="N59" i="59"/>
  <c r="I67" i="81"/>
  <c r="F64" i="92"/>
  <c r="J5" i="81"/>
  <c r="F100" i="59"/>
  <c r="J8" i="81"/>
  <c r="K27" i="83"/>
  <c r="K23" i="93"/>
  <c r="O44" i="66"/>
  <c r="E20" i="53"/>
  <c r="N20" i="90"/>
  <c r="O70" i="38"/>
  <c r="H47" i="55"/>
  <c r="E41" i="58"/>
  <c r="N97" i="45"/>
  <c r="L71" i="63"/>
  <c r="O48" i="65"/>
  <c r="M49" i="55"/>
  <c r="D106" i="50"/>
  <c r="N106" i="27"/>
  <c r="N97" i="40"/>
  <c r="J59" i="54"/>
  <c r="K103" i="47"/>
  <c r="F56" i="49"/>
  <c r="O58" i="92"/>
  <c r="J12" i="77"/>
  <c r="O74" i="84"/>
  <c r="I7" i="43"/>
  <c r="L49" i="48"/>
  <c r="J88" i="30"/>
  <c r="J54" i="70"/>
  <c r="K14" i="32"/>
  <c r="E25" i="45"/>
  <c r="H73" i="83"/>
  <c r="K36" i="90"/>
  <c r="J43" i="46"/>
  <c r="K106" i="75"/>
  <c r="M45" i="67"/>
  <c r="N95" i="92"/>
  <c r="N104" i="25"/>
  <c r="D49" i="91"/>
  <c r="J52" i="33"/>
  <c r="F94" i="44"/>
  <c r="N97" i="63"/>
  <c r="O6" i="47"/>
  <c r="L29" i="72"/>
  <c r="K30" i="39"/>
  <c r="M15" i="40"/>
  <c r="N64" i="48"/>
  <c r="G28" i="34"/>
  <c r="K41" i="19"/>
  <c r="H11" i="57"/>
  <c r="J15" i="68"/>
  <c r="H64" i="86"/>
  <c r="N57" i="80"/>
  <c r="N5" i="57"/>
  <c r="L11" i="45"/>
  <c r="K101" i="76"/>
  <c r="K94" i="93"/>
  <c r="J107" i="32"/>
  <c r="G15" i="45"/>
  <c r="H95" i="90"/>
  <c r="J17" i="61"/>
  <c r="J88" i="49"/>
  <c r="D67" i="68"/>
  <c r="O6" i="76"/>
  <c r="N35" i="29"/>
  <c r="H25" i="43"/>
  <c r="D55" i="69"/>
  <c r="D107" i="80"/>
  <c r="E40"/>
  <c r="N20" i="82"/>
  <c r="D85" i="90"/>
  <c r="J76" i="60"/>
  <c r="I94" i="72"/>
  <c r="O7" i="77"/>
  <c r="D31" i="65"/>
  <c r="F41" i="67"/>
  <c r="D64" i="69"/>
  <c r="N41" i="86"/>
  <c r="K101" i="72"/>
  <c r="J73" i="49"/>
  <c r="J16" i="94"/>
  <c r="O28" i="33"/>
  <c r="K8" i="61"/>
  <c r="L26" i="25"/>
  <c r="M100" i="30"/>
  <c r="E85" i="81"/>
  <c r="I37" i="19"/>
  <c r="F57" i="25"/>
  <c r="H31" i="36"/>
  <c r="F22" i="81"/>
  <c r="M22" i="27"/>
  <c r="M57" i="70"/>
  <c r="G29" i="75"/>
  <c r="H7" i="49"/>
  <c r="L97" i="77"/>
  <c r="K9" i="73"/>
  <c r="G85" i="81"/>
  <c r="L77" i="39"/>
  <c r="I8" i="82"/>
  <c r="L52"/>
  <c r="E22" i="43"/>
  <c r="L61" i="67"/>
  <c r="G18" i="77"/>
  <c r="J74" i="39"/>
  <c r="K85" i="19"/>
  <c r="L77" i="56"/>
  <c r="L62" i="77"/>
  <c r="L83" i="84"/>
  <c r="M107"/>
  <c r="D97" i="19"/>
  <c r="L19" i="30"/>
  <c r="M52" i="91"/>
  <c r="M77" i="84"/>
  <c r="G16" i="26"/>
  <c r="N11" i="34"/>
  <c r="K8" i="30"/>
  <c r="N23" i="66"/>
  <c r="J45" i="44"/>
  <c r="M18" i="19"/>
  <c r="O27" i="83"/>
  <c r="J5" i="59"/>
  <c r="D30" i="60"/>
  <c r="N104" i="38"/>
  <c r="G106" i="46"/>
  <c r="O40" i="29"/>
  <c r="G79" i="79"/>
  <c r="O86" i="51"/>
  <c r="E39" i="74"/>
  <c r="H49" i="29"/>
  <c r="K32" i="62"/>
  <c r="G79" i="76"/>
  <c r="H42" i="34"/>
  <c r="O50" i="87"/>
  <c r="K25" i="67"/>
  <c r="I107" i="77"/>
  <c r="J44" i="64"/>
  <c r="K83" i="25"/>
  <c r="I53" i="86"/>
  <c r="L95" i="46"/>
  <c r="I58" i="77"/>
  <c r="D52" i="93"/>
  <c r="H57" i="71"/>
  <c r="K8" i="45"/>
  <c r="L61" i="27"/>
  <c r="K73" i="46"/>
  <c r="D74" i="62"/>
  <c r="I61" i="33"/>
  <c r="J32" i="86"/>
  <c r="L41" i="58"/>
  <c r="I79" i="73"/>
  <c r="I94" i="90"/>
  <c r="K47" i="33"/>
  <c r="L28" i="38"/>
  <c r="H54" i="80"/>
  <c r="J103" i="66"/>
  <c r="F34" i="35"/>
  <c r="O12" i="62"/>
  <c r="K18" i="44"/>
  <c r="M33" i="94"/>
  <c r="E89" i="63"/>
  <c r="K35" i="91"/>
  <c r="I11" i="27"/>
  <c r="J28" i="93"/>
  <c r="O11" i="32"/>
  <c r="O39" i="86"/>
  <c r="H62" i="73"/>
  <c r="N91" i="69"/>
  <c r="D85" i="52"/>
  <c r="N58" i="48"/>
  <c r="L37" i="27"/>
  <c r="E95" i="59"/>
  <c r="F26" i="58"/>
  <c r="H18" i="57"/>
  <c r="I88" i="30"/>
  <c r="I46" i="60"/>
  <c r="D23" i="47"/>
  <c r="D103" i="83"/>
  <c r="L62" i="78"/>
  <c r="M94" i="70"/>
  <c r="M27" i="83"/>
  <c r="D59" i="86"/>
  <c r="H83" i="54"/>
  <c r="L35" i="84"/>
  <c r="I103" i="30"/>
  <c r="O10" i="53"/>
  <c r="G23" i="78"/>
  <c r="L57" i="75"/>
  <c r="G62" i="47"/>
  <c r="G70" i="38"/>
  <c r="J52" i="51"/>
  <c r="F21" i="33"/>
  <c r="E20" i="45"/>
  <c r="K86" i="77"/>
  <c r="D103" i="42"/>
  <c r="O98" i="30"/>
  <c r="H4" i="76"/>
  <c r="D42" i="29"/>
  <c r="I94" i="32"/>
  <c r="O13" i="74"/>
  <c r="G103" i="60"/>
  <c r="G46" i="40"/>
  <c r="G11" i="80"/>
  <c r="J54" i="54"/>
  <c r="G82" i="93"/>
  <c r="I19" i="83"/>
  <c r="G51" i="75"/>
  <c r="K68" i="58"/>
  <c r="L8" i="56"/>
  <c r="I103" i="45"/>
  <c r="L106" i="75"/>
  <c r="G11" i="47"/>
  <c r="I18" i="82"/>
  <c r="G51" i="43"/>
  <c r="M47" i="82"/>
  <c r="M11" i="26"/>
  <c r="D11" i="66"/>
  <c r="D10" i="35"/>
  <c r="K73" i="77"/>
  <c r="M37" i="62"/>
  <c r="M55" i="67"/>
  <c r="G35"/>
  <c r="O24" i="64"/>
  <c r="O106" i="71"/>
  <c r="K16" i="59"/>
  <c r="H86" i="94"/>
  <c r="N49" i="86"/>
  <c r="F47" i="29"/>
  <c r="F33" i="57"/>
  <c r="L14" i="48"/>
  <c r="G70" i="74"/>
  <c r="D55" i="52"/>
  <c r="E64" i="79"/>
  <c r="I100" i="43"/>
  <c r="F97" i="83"/>
  <c r="D12" i="19"/>
  <c r="K32" i="84"/>
  <c r="M33" i="35"/>
  <c r="M106" i="44"/>
  <c r="G74" i="58"/>
  <c r="J51" i="34"/>
  <c r="G70" i="71"/>
  <c r="J30" i="78"/>
  <c r="K106" i="64"/>
  <c r="G4" i="80"/>
  <c r="N54" i="82"/>
  <c r="O85" i="55"/>
  <c r="G55" i="79"/>
  <c r="J55" i="41"/>
  <c r="G62" i="76"/>
  <c r="O106" i="87"/>
  <c r="K94"/>
  <c r="H19" i="90"/>
  <c r="H101" i="69"/>
  <c r="K15" i="72"/>
  <c r="N107" i="83"/>
  <c r="G46" i="77"/>
  <c r="F32" i="79"/>
  <c r="F6" i="43"/>
  <c r="O10" i="65"/>
  <c r="M30" i="78"/>
  <c r="K14" i="26"/>
  <c r="D13" i="47"/>
  <c r="I38"/>
  <c r="E52" i="51"/>
  <c r="K31" i="76"/>
  <c r="N39" i="27"/>
  <c r="N19" i="63"/>
  <c r="O70" i="56"/>
  <c r="N65" i="93"/>
  <c r="D85" i="76"/>
  <c r="O68" i="34"/>
  <c r="G34" i="72"/>
  <c r="G83" i="66"/>
  <c r="E32" i="43"/>
  <c r="N29" i="54"/>
  <c r="E35" i="56"/>
  <c r="H23" i="80"/>
  <c r="K54" i="74"/>
  <c r="N83" i="27"/>
  <c r="D107" i="91"/>
  <c r="E51" i="69"/>
  <c r="L94" i="59"/>
  <c r="H61" i="94"/>
  <c r="L86" i="68"/>
  <c r="E57" i="89"/>
  <c r="E20" i="48"/>
  <c r="E34" i="47"/>
  <c r="O5" i="51"/>
  <c r="N30" i="68"/>
  <c r="J32" i="50"/>
  <c r="O23" i="45"/>
  <c r="K98" i="64"/>
  <c r="D83" i="29"/>
  <c r="O80" i="71"/>
  <c r="E14" i="51"/>
  <c r="J46" i="46"/>
  <c r="L24" i="93"/>
  <c r="H31" i="59"/>
  <c r="I5" i="67"/>
  <c r="J77" i="78"/>
  <c r="F19" i="36"/>
  <c r="M80" i="19"/>
  <c r="D79" i="65"/>
  <c r="I54" i="19"/>
  <c r="I95" i="40"/>
  <c r="G74" i="81"/>
  <c r="K52" i="34"/>
  <c r="G103" i="56"/>
  <c r="J5" i="32"/>
  <c r="J52" i="29"/>
  <c r="L19" i="87"/>
  <c r="D17" i="38"/>
  <c r="M103" i="91"/>
  <c r="E100" i="39"/>
  <c r="H61" i="62"/>
  <c r="I64" i="66"/>
  <c r="M30" i="83"/>
  <c r="E71" i="54"/>
  <c r="I53" i="59"/>
  <c r="O58" i="62"/>
  <c r="K23" i="47"/>
  <c r="F45" i="53"/>
  <c r="K13" i="55"/>
  <c r="O45" i="58"/>
  <c r="K13" i="72"/>
  <c r="L13" i="73"/>
  <c r="K18" i="29"/>
  <c r="N39" i="49"/>
  <c r="L104" i="71"/>
  <c r="O22" i="35"/>
  <c r="N56" i="68"/>
  <c r="L103" i="75"/>
  <c r="N41" i="58"/>
  <c r="L22" i="82"/>
  <c r="E11" i="50"/>
  <c r="F12" i="19"/>
  <c r="E56" i="26"/>
  <c r="K45" i="27"/>
  <c r="O41" i="76"/>
  <c r="D6" i="42"/>
  <c r="E17" i="27"/>
  <c r="L31" i="73"/>
  <c r="M70" i="36"/>
  <c r="K89" i="75"/>
  <c r="H25" i="63"/>
  <c r="E79" i="43"/>
  <c r="E76" i="59"/>
  <c r="M58" i="65"/>
  <c r="L31" i="34"/>
  <c r="K101" i="77"/>
  <c r="J61" i="83"/>
  <c r="H18" i="29"/>
  <c r="J34" i="35"/>
  <c r="E5" i="44"/>
  <c r="E35" i="39"/>
  <c r="N68" i="75"/>
  <c r="O20" i="72"/>
  <c r="L24" i="30"/>
  <c r="G85" i="69"/>
  <c r="E50" i="55"/>
  <c r="J29" i="33"/>
  <c r="D35" i="59"/>
  <c r="I73" i="92"/>
  <c r="M79" i="64"/>
  <c r="E55" i="33"/>
  <c r="E17" i="25"/>
  <c r="O97" i="59"/>
  <c r="M4" i="58"/>
  <c r="D20" i="42"/>
  <c r="H15" i="41"/>
  <c r="G52" i="63"/>
  <c r="G22" i="74"/>
  <c r="M65" i="83"/>
  <c r="J13" i="43"/>
  <c r="J6" i="61"/>
  <c r="H15" i="91"/>
  <c r="I12" i="94"/>
  <c r="M43" i="58"/>
  <c r="I29" i="74"/>
  <c r="L70" i="92"/>
  <c r="K18" i="43"/>
  <c r="H25" i="19"/>
  <c r="K41" i="70"/>
  <c r="G88" i="73"/>
  <c r="K106"/>
  <c r="J20" i="57"/>
  <c r="E5" i="91"/>
  <c r="K7" i="66"/>
  <c r="F31" i="71"/>
  <c r="F48" i="60"/>
  <c r="D11" i="70"/>
  <c r="I98" i="36"/>
  <c r="K20"/>
  <c r="I92" i="67"/>
  <c r="K40" i="91"/>
  <c r="H25" i="60"/>
  <c r="L32" i="19"/>
  <c r="N26" i="60"/>
  <c r="I10" i="81"/>
  <c r="J49" i="62"/>
  <c r="D48" i="80"/>
  <c r="M55" i="34"/>
  <c r="H45" i="60"/>
  <c r="M88" i="74"/>
  <c r="N35" i="69"/>
  <c r="H101" i="91"/>
  <c r="M4" i="81"/>
  <c r="G20" i="68"/>
  <c r="O88" i="87"/>
  <c r="O71" i="40"/>
  <c r="E107" i="72"/>
  <c r="J88" i="65"/>
  <c r="N28" i="49"/>
  <c r="E83" i="48"/>
  <c r="M86" i="91"/>
  <c r="G36" i="39"/>
  <c r="N67" i="82"/>
  <c r="M9" i="61"/>
  <c r="I5" i="74"/>
  <c r="K71" i="64"/>
  <c r="K22" i="78"/>
  <c r="K33" i="41"/>
  <c r="J71" i="90"/>
  <c r="N28" i="75"/>
  <c r="J52" i="68"/>
  <c r="M25" i="35"/>
  <c r="G8" i="65"/>
  <c r="N100" i="27"/>
  <c r="I67" i="36"/>
  <c r="L48"/>
  <c r="N92" i="59"/>
  <c r="E100" i="64"/>
  <c r="I76" i="43"/>
  <c r="J67" i="91"/>
  <c r="K68" i="54"/>
  <c r="I100" i="49"/>
  <c r="K104" i="43"/>
  <c r="J44" i="53"/>
  <c r="H38" i="86"/>
  <c r="O55" i="35"/>
  <c r="K45" i="32"/>
  <c r="J25" i="87"/>
  <c r="O48" i="84"/>
  <c r="E48" i="94"/>
  <c r="K85" i="90"/>
  <c r="J49" i="48"/>
  <c r="O50" i="26"/>
  <c r="M19" i="51"/>
  <c r="K97" i="19"/>
  <c r="D58" i="51"/>
  <c r="F20" i="45"/>
  <c r="F94" i="73"/>
  <c r="M11" i="74"/>
  <c r="M43" i="60"/>
  <c r="O107" i="66"/>
  <c r="O47" i="68"/>
  <c r="G12" i="61"/>
  <c r="D9" i="79"/>
  <c r="J7" i="56"/>
  <c r="J53" i="51"/>
  <c r="H7" i="57"/>
  <c r="O44" i="49"/>
  <c r="N77" i="43"/>
  <c r="I25" i="62"/>
  <c r="N68" i="83"/>
  <c r="I74" i="80"/>
  <c r="M36" i="86"/>
  <c r="I30" i="19"/>
  <c r="I34" i="62"/>
  <c r="O82" i="77"/>
  <c r="G82" i="41"/>
  <c r="E57" i="62"/>
  <c r="G97" i="48"/>
  <c r="O24" i="32"/>
  <c r="O106" i="77"/>
  <c r="H32" i="86"/>
  <c r="N106" i="34"/>
  <c r="O73" i="70"/>
  <c r="L32" i="72"/>
  <c r="F57" i="94"/>
  <c r="K100" i="27"/>
  <c r="H70" i="73"/>
  <c r="H56" i="87"/>
  <c r="H70"/>
  <c r="D45" i="40"/>
  <c r="F54" i="60"/>
  <c r="F9" i="39"/>
  <c r="J7" i="84"/>
  <c r="E30" i="70"/>
  <c r="D36" i="85"/>
  <c r="J57" i="75"/>
  <c r="M9" i="83"/>
  <c r="O42" i="40"/>
  <c r="D62" i="67"/>
  <c r="D67" i="94"/>
  <c r="I67" i="62"/>
  <c r="I23"/>
  <c r="I56" i="90"/>
  <c r="F22" i="25"/>
  <c r="E82" i="87"/>
  <c r="M31" i="25"/>
  <c r="G49" i="53"/>
  <c r="G94" i="54"/>
  <c r="D106" i="67"/>
  <c r="L70" i="83"/>
  <c r="G57" i="32"/>
  <c r="H100" i="83"/>
  <c r="N33" i="60"/>
  <c r="D36" i="64"/>
  <c r="D20" i="32"/>
  <c r="N86" i="60"/>
  <c r="H28" i="75"/>
  <c r="E95" i="66"/>
  <c r="J42" i="39"/>
  <c r="M107" i="76"/>
  <c r="K25" i="80"/>
  <c r="E53" i="55"/>
  <c r="J25" i="93"/>
  <c r="K71" i="94"/>
  <c r="E98" i="72"/>
  <c r="E16" i="47"/>
  <c r="N59" i="73"/>
  <c r="N106" i="74"/>
  <c r="F77" i="66"/>
  <c r="G85" i="26"/>
  <c r="K104" i="89"/>
  <c r="L42" i="32"/>
  <c r="I95" i="69"/>
  <c r="J71" i="76"/>
  <c r="J26" i="30"/>
  <c r="N29" i="53"/>
  <c r="J91" i="93"/>
  <c r="I100" i="41"/>
  <c r="O97" i="74"/>
  <c r="O17" i="94"/>
  <c r="O46" i="77"/>
  <c r="G4" i="54"/>
  <c r="L52" i="32"/>
  <c r="K74" i="70"/>
  <c r="O39" i="90"/>
  <c r="O85" i="36"/>
  <c r="O10" i="84"/>
  <c r="N7" i="78"/>
  <c r="F6" i="63"/>
  <c r="D36" i="69"/>
  <c r="E38" i="84"/>
  <c r="J10" i="62"/>
  <c r="E85" i="34"/>
  <c r="N13" i="62"/>
  <c r="L45" i="72"/>
  <c r="L97" i="66"/>
  <c r="K100" i="77"/>
  <c r="L20" i="51"/>
  <c r="H7" i="39"/>
  <c r="L80" i="77"/>
  <c r="J61" i="45"/>
  <c r="H48" i="57"/>
  <c r="E103" i="77"/>
  <c r="L45" i="32"/>
  <c r="J74" i="30"/>
  <c r="K32" i="26"/>
  <c r="F100" i="40"/>
  <c r="M42" i="64"/>
  <c r="E17" i="71"/>
  <c r="N48" i="61"/>
  <c r="H5" i="72"/>
  <c r="O104" i="84"/>
  <c r="J71" i="83"/>
  <c r="F16" i="56"/>
  <c r="K43" i="84"/>
  <c r="H10" i="51"/>
  <c r="K54" i="92"/>
  <c r="N25" i="19"/>
  <c r="M40" i="80"/>
  <c r="N23" i="39"/>
  <c r="CH64" i="3"/>
  <c r="L54" i="65"/>
  <c r="L37" i="80"/>
  <c r="M62" i="51"/>
  <c r="E97" i="48"/>
  <c r="E61" i="71"/>
  <c r="D91" i="49"/>
  <c r="L46" i="46"/>
  <c r="F94" i="49"/>
  <c r="O19" i="71"/>
  <c r="J39" i="38"/>
  <c r="M19" i="35"/>
  <c r="G95" i="30"/>
  <c r="H53" i="93"/>
  <c r="J104" i="57"/>
  <c r="M97" i="94"/>
  <c r="L55" i="83"/>
  <c r="D28" i="44"/>
  <c r="E92" i="68"/>
  <c r="L40" i="84"/>
  <c r="I103" i="92"/>
  <c r="F16" i="90"/>
  <c r="H85" i="78"/>
  <c r="O64" i="36"/>
  <c r="H12" i="45"/>
  <c r="K4" i="36"/>
  <c r="J92" i="79"/>
  <c r="K15" i="75"/>
  <c r="L12" i="56"/>
  <c r="G9" i="55"/>
  <c r="D5" i="56"/>
  <c r="F56" i="25"/>
  <c r="M68" i="73"/>
  <c r="E22" i="76"/>
  <c r="F74" i="94"/>
  <c r="K41" i="87"/>
  <c r="L12" i="26"/>
  <c r="H85" i="62"/>
  <c r="J71" i="25"/>
  <c r="I89" i="79"/>
  <c r="L37" i="47"/>
  <c r="N55" i="65"/>
  <c r="O92" i="29"/>
  <c r="M46" i="56"/>
  <c r="K91" i="76"/>
  <c r="D54" i="70"/>
  <c r="I8" i="32"/>
  <c r="H82" i="87"/>
  <c r="L106" i="89"/>
  <c r="E42" i="64"/>
  <c r="G43" i="41"/>
  <c r="F68" i="49"/>
  <c r="I10" i="57"/>
  <c r="F29" i="80"/>
  <c r="D15" i="65"/>
  <c r="D46" i="55"/>
  <c r="E55" i="74"/>
  <c r="H77" i="76"/>
  <c r="O92" i="35"/>
  <c r="H73" i="52"/>
  <c r="F55" i="64"/>
  <c r="I19" i="51"/>
  <c r="H49" i="85"/>
  <c r="G27" i="36"/>
  <c r="D7" i="61"/>
  <c r="G26" i="55"/>
  <c r="D35" i="90"/>
  <c r="J56" i="83"/>
  <c r="H36" i="54"/>
  <c r="D53" i="35"/>
  <c r="E57" i="78"/>
  <c r="H104" i="94"/>
  <c r="K28" i="89"/>
  <c r="G101" i="71"/>
  <c r="I79" i="33"/>
  <c r="K17" i="90"/>
  <c r="L5" i="89"/>
  <c r="F30" i="57"/>
  <c r="K82" i="56"/>
  <c r="E41" i="48"/>
  <c r="K97" i="72"/>
  <c r="J59" i="91"/>
  <c r="M70" i="45"/>
  <c r="O94" i="87"/>
  <c r="F14" i="25"/>
  <c r="E82" i="79"/>
  <c r="K20" i="53"/>
  <c r="I5" i="71"/>
  <c r="G58" i="55"/>
  <c r="J74" i="90"/>
  <c r="M97" i="62"/>
  <c r="J88" i="19"/>
  <c r="K17" i="45"/>
  <c r="H56" i="62"/>
  <c r="J40" i="70"/>
  <c r="G30" i="92"/>
  <c r="H48" i="71"/>
  <c r="H62" i="78"/>
  <c r="H64" i="34"/>
  <c r="N56" i="72"/>
  <c r="H34" i="92"/>
  <c r="O100" i="66"/>
  <c r="K10" i="41"/>
  <c r="I26" i="39"/>
  <c r="I8" i="30"/>
  <c r="J39" i="35"/>
  <c r="G6" i="32"/>
  <c r="G65" i="38"/>
  <c r="G28" i="69"/>
  <c r="D42" i="42"/>
  <c r="E74" i="41"/>
  <c r="J18" i="39"/>
  <c r="J32" i="75"/>
  <c r="G25" i="62"/>
  <c r="L23" i="36"/>
  <c r="F6" i="66"/>
  <c r="K51" i="75"/>
  <c r="K86" i="39"/>
  <c r="F57" i="27"/>
  <c r="N54" i="36"/>
  <c r="D48" i="60"/>
  <c r="N64" i="70"/>
  <c r="H100" i="67"/>
  <c r="G6" i="36"/>
  <c r="D5" i="67"/>
  <c r="O35" i="91"/>
  <c r="O4" i="46"/>
  <c r="J53" i="49"/>
  <c r="F88" i="51"/>
  <c r="I55" i="43"/>
  <c r="E50" i="72"/>
  <c r="J77" i="60"/>
  <c r="K101" i="91"/>
  <c r="H59" i="75"/>
  <c r="O79" i="57"/>
  <c r="O12" i="32"/>
  <c r="E16" i="52"/>
  <c r="O6" i="54"/>
  <c r="G52" i="42"/>
  <c r="M12" i="60"/>
  <c r="J73" i="78"/>
  <c r="O44" i="74"/>
  <c r="O38" i="35"/>
  <c r="N22" i="46"/>
  <c r="O13" i="76"/>
  <c r="G89" i="29"/>
  <c r="F103" i="43"/>
  <c r="H31" i="41"/>
  <c r="L48" i="33"/>
  <c r="F33" i="92"/>
  <c r="G95" i="43"/>
  <c r="I15" i="52"/>
  <c r="D4" i="47"/>
  <c r="E54" i="44"/>
  <c r="N51" i="76"/>
  <c r="E38" i="90"/>
  <c r="N24" i="75"/>
  <c r="J62" i="70"/>
  <c r="E47" i="78"/>
  <c r="J49" i="32"/>
  <c r="N100" i="30"/>
  <c r="I53" i="89"/>
  <c r="E48" i="84"/>
  <c r="K21" i="43"/>
  <c r="D71" i="74"/>
  <c r="F13" i="79"/>
  <c r="H53" i="41"/>
  <c r="I37" i="56"/>
  <c r="D17" i="89"/>
  <c r="J33" i="58"/>
  <c r="N4" i="84"/>
  <c r="H31" i="66"/>
  <c r="L77" i="36"/>
  <c r="J9" i="78"/>
  <c r="K54" i="44"/>
  <c r="O21" i="81"/>
  <c r="H5"/>
  <c r="I65" i="87"/>
  <c r="O23" i="56"/>
  <c r="K70" i="25"/>
  <c r="D101" i="67"/>
  <c r="D8" i="38"/>
  <c r="J19" i="91"/>
  <c r="K35" i="73"/>
  <c r="D17" i="57"/>
  <c r="O17" i="44"/>
  <c r="L100" i="66"/>
  <c r="K85" i="69"/>
  <c r="G47" i="40"/>
  <c r="N80" i="26"/>
  <c r="E82" i="70"/>
  <c r="E100" i="47"/>
  <c r="D62" i="52"/>
  <c r="D37" i="86"/>
  <c r="H18" i="51"/>
  <c r="G73" i="47"/>
  <c r="O82" i="51"/>
  <c r="N61"/>
  <c r="K106" i="41"/>
  <c r="L14" i="54"/>
  <c r="J52" i="45"/>
  <c r="G7" i="71"/>
  <c r="L27" i="81"/>
  <c r="J31" i="67"/>
  <c r="G24" i="56"/>
  <c r="M89" i="63"/>
  <c r="N16" i="19"/>
  <c r="L19" i="27"/>
  <c r="J27" i="68"/>
  <c r="I50" i="34"/>
  <c r="J45" i="46"/>
  <c r="K32" i="40"/>
  <c r="N95" i="56"/>
  <c r="N25" i="48"/>
  <c r="J74" i="93"/>
  <c r="K48" i="74"/>
  <c r="M27" i="71"/>
  <c r="K26" i="68"/>
  <c r="I91" i="40"/>
  <c r="F26" i="65"/>
  <c r="J13" i="76"/>
  <c r="N83" i="91"/>
  <c r="I34" i="81"/>
  <c r="K6" i="35"/>
  <c r="N58" i="90"/>
  <c r="I91" i="57"/>
  <c r="D32" i="92"/>
  <c r="K104" i="51"/>
  <c r="H14" i="76"/>
  <c r="K44" i="94"/>
  <c r="F53" i="61"/>
  <c r="G53" i="52"/>
  <c r="F95" i="63"/>
  <c r="D76" i="27"/>
  <c r="F5" i="52"/>
  <c r="K51" i="65"/>
  <c r="E29" i="63"/>
  <c r="K5" i="65"/>
  <c r="G61" i="72"/>
  <c r="M97" i="60"/>
  <c r="G35" i="91"/>
  <c r="H36" i="56"/>
  <c r="E86" i="75"/>
  <c r="F47" i="49"/>
  <c r="F54" i="44"/>
  <c r="N71" i="94"/>
  <c r="D33" i="57"/>
  <c r="N49" i="49"/>
  <c r="H62" i="40"/>
  <c r="K35" i="63"/>
  <c r="I21" i="90"/>
  <c r="M47" i="51"/>
  <c r="I67" i="83"/>
  <c r="H35" i="84"/>
  <c r="E29" i="34"/>
  <c r="N58" i="68"/>
  <c r="N25" i="94"/>
  <c r="G11" i="33"/>
  <c r="H54" i="50"/>
  <c r="H53" i="70"/>
  <c r="L4" i="76"/>
  <c r="I97" i="38"/>
  <c r="D101" i="91"/>
  <c r="M8" i="59"/>
  <c r="M15" i="60"/>
  <c r="N64" i="30"/>
  <c r="G97" i="70"/>
  <c r="D43"/>
  <c r="L21" i="47"/>
  <c r="H73" i="60"/>
  <c r="F107" i="61"/>
  <c r="O21" i="53"/>
  <c r="O46" i="60"/>
  <c r="O100" i="92"/>
  <c r="J64" i="25"/>
  <c r="K80" i="38"/>
  <c r="J68" i="90"/>
  <c r="N19" i="39"/>
  <c r="G24" i="44"/>
  <c r="G64" i="26"/>
  <c r="O46" i="46"/>
  <c r="I41" i="54"/>
  <c r="I7" i="52"/>
  <c r="M25" i="57"/>
  <c r="M61" i="64"/>
  <c r="G101" i="72"/>
  <c r="G39" i="73"/>
  <c r="K95" i="34"/>
  <c r="G21" i="39"/>
  <c r="L48" i="48"/>
  <c r="L89" i="41"/>
  <c r="E4" i="92"/>
  <c r="M42" i="70"/>
  <c r="N57" i="94"/>
  <c r="M70" i="70"/>
  <c r="H46" i="29"/>
  <c r="I57" i="47"/>
  <c r="F11" i="79"/>
  <c r="J85" i="73"/>
  <c r="L104" i="78"/>
  <c r="F79" i="63"/>
  <c r="E36" i="32"/>
  <c r="K27" i="72"/>
  <c r="K49" i="67"/>
  <c r="D106" i="32"/>
  <c r="E14" i="81"/>
  <c r="D38" i="29"/>
  <c r="D48" i="42"/>
  <c r="G21" i="54"/>
  <c r="N65" i="43"/>
  <c r="O17" i="53"/>
  <c r="M5" i="64"/>
  <c r="L8" i="63"/>
  <c r="M64" i="44"/>
  <c r="N30" i="61"/>
  <c r="F88" i="29"/>
  <c r="H49" i="72"/>
  <c r="D21" i="93"/>
  <c r="E45" i="81"/>
  <c r="K57" i="62"/>
  <c r="D64" i="80"/>
  <c r="E57" i="38"/>
  <c r="K25" i="59"/>
  <c r="I23" i="47"/>
  <c r="N97" i="19"/>
  <c r="M47" i="68"/>
  <c r="K42" i="74"/>
  <c r="D17" i="90"/>
  <c r="D82" i="41"/>
  <c r="N97" i="35"/>
  <c r="M11" i="66"/>
  <c r="M7" i="82"/>
  <c r="I50" i="64"/>
  <c r="O34" i="39"/>
  <c r="N67" i="58"/>
  <c r="J18" i="63"/>
  <c r="N67" i="35"/>
  <c r="E40" i="46"/>
  <c r="H59" i="63"/>
  <c r="H80" i="78"/>
  <c r="N4" i="86"/>
  <c r="O6" i="30"/>
  <c r="N7" i="82"/>
  <c r="L82" i="35"/>
  <c r="K49" i="26"/>
  <c r="I65" i="54"/>
  <c r="N34" i="30"/>
  <c r="I80" i="77"/>
  <c r="I59" i="70"/>
  <c r="J31" i="69"/>
  <c r="L65" i="84"/>
  <c r="J9" i="73"/>
  <c r="I88" i="59"/>
  <c r="K33" i="71"/>
  <c r="F44" i="19"/>
  <c r="F14" i="57"/>
  <c r="M67" i="91"/>
  <c r="E98" i="93"/>
  <c r="F82" i="49"/>
  <c r="H37" i="91"/>
  <c r="M77" i="66"/>
  <c r="L6" i="70"/>
  <c r="F50" i="89"/>
  <c r="E62" i="19"/>
  <c r="G43" i="45"/>
  <c r="I61" i="36"/>
  <c r="F20" i="68"/>
  <c r="H104" i="45"/>
  <c r="N46"/>
  <c r="I62" i="32"/>
  <c r="N30" i="55"/>
  <c r="J41" i="34"/>
  <c r="K101" i="65"/>
  <c r="H106" i="63"/>
  <c r="F32" i="87"/>
  <c r="M80" i="82"/>
  <c r="I35" i="54"/>
  <c r="I94" i="77"/>
  <c r="G91" i="52"/>
  <c r="J20" i="19"/>
  <c r="E14" i="80"/>
  <c r="L10" i="62"/>
  <c r="H7" i="80"/>
  <c r="F31" i="32"/>
  <c r="J21" i="47"/>
  <c r="G49" i="80"/>
  <c r="K97" i="82"/>
  <c r="N32" i="73"/>
  <c r="F89" i="70"/>
  <c r="G43" i="36"/>
  <c r="E33" i="67"/>
  <c r="J20" i="53"/>
  <c r="J85" i="93"/>
  <c r="D52" i="91"/>
  <c r="L68" i="49"/>
  <c r="F35" i="57"/>
  <c r="H17" i="80"/>
  <c r="K41" i="55"/>
  <c r="I86" i="48"/>
  <c r="L8" i="29"/>
  <c r="I97" i="73"/>
  <c r="E61" i="82"/>
  <c r="G7" i="68"/>
  <c r="F25" i="48"/>
  <c r="K35" i="70"/>
  <c r="J16" i="19"/>
  <c r="F18" i="84"/>
  <c r="E100" i="89"/>
  <c r="F9" i="32"/>
  <c r="H61" i="64"/>
  <c r="E52" i="59"/>
  <c r="E53" i="26"/>
  <c r="O61" i="67"/>
  <c r="N98" i="47"/>
  <c r="I47" i="52"/>
  <c r="F30" i="64"/>
  <c r="G30" i="45"/>
  <c r="M8" i="32"/>
  <c r="J56" i="73"/>
  <c r="H74" i="59"/>
  <c r="L58" i="74"/>
  <c r="H5" i="83"/>
  <c r="M15" i="71"/>
  <c r="I24" i="76"/>
  <c r="G104" i="50"/>
  <c r="M83" i="94"/>
  <c r="F68" i="44"/>
  <c r="L100" i="90"/>
  <c r="J51" i="46"/>
  <c r="O52" i="68"/>
  <c r="I36" i="72"/>
  <c r="H79" i="58"/>
  <c r="D18" i="77"/>
  <c r="F22" i="52"/>
  <c r="M13" i="51"/>
  <c r="F16" i="77"/>
  <c r="M76" i="48"/>
  <c r="N73" i="26"/>
  <c r="G46" i="87"/>
  <c r="F41" i="72"/>
  <c r="D82" i="78"/>
  <c r="F56" i="91"/>
  <c r="H83" i="60"/>
  <c r="F59" i="53"/>
  <c r="O62" i="75"/>
  <c r="F79" i="29"/>
  <c r="J95" i="54"/>
  <c r="F92"/>
  <c r="D9" i="60"/>
  <c r="L29" i="84"/>
  <c r="J49" i="70"/>
  <c r="M104" i="35"/>
  <c r="H53" i="72"/>
  <c r="F55" i="86"/>
  <c r="M70" i="48"/>
  <c r="K95" i="62"/>
  <c r="D18" i="40"/>
  <c r="F51" i="62"/>
  <c r="M11" i="32"/>
  <c r="J6" i="40"/>
  <c r="I41" i="43"/>
  <c r="M64" i="87"/>
  <c r="I26" i="34"/>
  <c r="L74" i="69"/>
  <c r="L28" i="76"/>
  <c r="O18" i="58"/>
  <c r="F8" i="90"/>
  <c r="O52" i="76"/>
  <c r="K14" i="41"/>
  <c r="I17" i="84"/>
  <c r="H80" i="42"/>
  <c r="D17" i="64"/>
  <c r="H58" i="60"/>
  <c r="L4" i="43"/>
  <c r="H44" i="45"/>
  <c r="E95" i="34"/>
  <c r="D27" i="53"/>
  <c r="M68" i="82"/>
  <c r="G35" i="68"/>
  <c r="E91" i="39"/>
  <c r="L74" i="80"/>
  <c r="I20" i="50"/>
  <c r="D9" i="44"/>
  <c r="J95" i="93"/>
  <c r="F38" i="32"/>
  <c r="F100"/>
  <c r="H24" i="82"/>
  <c r="O74" i="63"/>
  <c r="O26" i="87"/>
  <c r="K20" i="54"/>
  <c r="H47" i="68"/>
  <c r="K30" i="38"/>
  <c r="D45" i="59"/>
  <c r="L85" i="45"/>
  <c r="G14" i="38"/>
  <c r="D62" i="64"/>
  <c r="O89" i="57"/>
  <c r="E47" i="72"/>
  <c r="J67" i="56"/>
  <c r="M9"/>
  <c r="H32" i="69"/>
  <c r="M10" i="38"/>
  <c r="K5" i="63"/>
  <c r="G48" i="47"/>
  <c r="F92" i="39"/>
  <c r="K86" i="62"/>
  <c r="E20" i="56"/>
  <c r="E16" i="25"/>
  <c r="G45" i="68"/>
  <c r="N9" i="59"/>
  <c r="F67" i="29"/>
  <c r="G79" i="26"/>
  <c r="H68" i="68"/>
  <c r="G44" i="30"/>
  <c r="L73" i="82"/>
  <c r="J86" i="40"/>
  <c r="E65" i="58"/>
  <c r="K35" i="48"/>
  <c r="H39" i="27"/>
  <c r="F107" i="65"/>
  <c r="O34" i="66"/>
  <c r="I56" i="81"/>
  <c r="G31" i="41"/>
  <c r="D67" i="27"/>
  <c r="I107" i="25"/>
  <c r="K91" i="75"/>
  <c r="G31" i="53"/>
  <c r="O89" i="43"/>
  <c r="G83" i="53"/>
  <c r="K10" i="62"/>
  <c r="I82" i="93"/>
  <c r="H89" i="32"/>
  <c r="K16" i="53"/>
  <c r="G65" i="75"/>
  <c r="O32" i="34"/>
  <c r="H30" i="41"/>
  <c r="H103" i="82"/>
  <c r="K16" i="60"/>
  <c r="K48" i="69"/>
  <c r="J50" i="64"/>
  <c r="D100" i="29"/>
  <c r="K98" i="66"/>
  <c r="H91" i="82"/>
  <c r="O24" i="48"/>
  <c r="K24" i="81"/>
  <c r="J18" i="68"/>
  <c r="D98" i="62"/>
  <c r="N62" i="89"/>
  <c r="D9" i="82"/>
  <c r="M74" i="44"/>
  <c r="F30" i="81"/>
  <c r="F20" i="94"/>
  <c r="N89" i="32"/>
  <c r="E40" i="43"/>
  <c r="O101" i="30"/>
  <c r="L76" i="59"/>
  <c r="O74" i="67"/>
  <c r="I36" i="40"/>
  <c r="D20" i="19"/>
  <c r="J11" i="45"/>
  <c r="G17" i="64"/>
  <c r="D40" i="77"/>
  <c r="N61" i="25"/>
  <c r="F67" i="93"/>
  <c r="D14" i="25"/>
  <c r="E85" i="73"/>
  <c r="K8" i="83"/>
  <c r="J25" i="92"/>
  <c r="O16" i="40"/>
  <c r="N28" i="43"/>
  <c r="D88" i="82"/>
  <c r="H35" i="25"/>
  <c r="K36" i="46"/>
  <c r="E101" i="60"/>
  <c r="K48" i="65"/>
  <c r="N40" i="58"/>
  <c r="G6" i="78"/>
  <c r="D12" i="54"/>
  <c r="F27" i="67"/>
  <c r="N70" i="75"/>
  <c r="L11" i="61"/>
  <c r="M42" i="78"/>
  <c r="F61" i="30"/>
  <c r="D41" i="70"/>
  <c r="G32" i="64"/>
  <c r="M53" i="19"/>
  <c r="H45" i="55"/>
  <c r="J45" i="81"/>
  <c r="L28" i="74"/>
  <c r="O86" i="39"/>
  <c r="F12" i="72"/>
  <c r="D51" i="94"/>
  <c r="J83" i="30"/>
  <c r="F94" i="82"/>
  <c r="N89" i="36"/>
  <c r="E68" i="94"/>
  <c r="M98" i="36"/>
  <c r="I106" i="43"/>
  <c r="F70" i="44"/>
  <c r="E95" i="65"/>
  <c r="M43" i="53"/>
  <c r="G71" i="29"/>
  <c r="L89" i="56"/>
  <c r="E5" i="69"/>
  <c r="F68" i="58"/>
  <c r="N74" i="47"/>
  <c r="F92" i="60"/>
  <c r="D20" i="25"/>
  <c r="M92" i="44"/>
  <c r="K98" i="36"/>
  <c r="E44" i="73"/>
  <c r="K31" i="92"/>
  <c r="E51" i="80"/>
  <c r="I100" i="70"/>
  <c r="L70" i="87"/>
  <c r="D76" i="82"/>
  <c r="G100" i="74"/>
  <c r="M54" i="63"/>
  <c r="O73" i="25"/>
  <c r="I82" i="55"/>
  <c r="N11" i="89"/>
  <c r="H43" i="44"/>
  <c r="N53" i="66"/>
  <c r="G55" i="73"/>
  <c r="L31" i="33"/>
  <c r="K74" i="58"/>
  <c r="F95" i="25"/>
  <c r="N97" i="84"/>
  <c r="F12" i="49"/>
  <c r="L89" i="90"/>
  <c r="L16" i="86"/>
  <c r="N4" i="80"/>
  <c r="N14" i="19"/>
  <c r="H103" i="57"/>
  <c r="H30" i="76"/>
  <c r="E62"/>
  <c r="F27" i="34"/>
  <c r="F7" i="44"/>
  <c r="H91" i="52"/>
  <c r="E100" i="86"/>
  <c r="O58" i="93"/>
  <c r="N55" i="68"/>
  <c r="I101" i="90"/>
  <c r="N8" i="78"/>
  <c r="L31" i="35"/>
  <c r="L89" i="80"/>
  <c r="L77" i="53"/>
  <c r="F27" i="64"/>
  <c r="E26" i="58"/>
  <c r="I39" i="43"/>
  <c r="L104" i="76"/>
  <c r="I47" i="48"/>
  <c r="M5" i="77"/>
  <c r="I101" i="54"/>
  <c r="L34" i="19"/>
  <c r="E35" i="84"/>
  <c r="E56" i="47"/>
  <c r="N82" i="68"/>
  <c r="G17" i="51"/>
  <c r="O13" i="36"/>
  <c r="I42" i="84"/>
  <c r="I6" i="61"/>
  <c r="N22" i="35"/>
  <c r="N22" i="82"/>
  <c r="J80" i="47"/>
  <c r="D39" i="41"/>
  <c r="M21" i="66"/>
  <c r="J24" i="43"/>
  <c r="I68" i="78"/>
  <c r="H11" i="47"/>
  <c r="K25" i="94"/>
  <c r="G37" i="19"/>
  <c r="F48" i="36"/>
  <c r="K40" i="47"/>
  <c r="J100" i="35"/>
  <c r="M65" i="38"/>
  <c r="L85" i="65"/>
  <c r="E38" i="36"/>
  <c r="N106" i="39"/>
  <c r="O15" i="81"/>
  <c r="L53" i="58"/>
  <c r="F70" i="63"/>
  <c r="M9" i="36"/>
  <c r="I28" i="25"/>
  <c r="O95" i="33"/>
  <c r="G19" i="51"/>
  <c r="J94" i="60"/>
  <c r="F92" i="80"/>
  <c r="H55" i="81"/>
  <c r="H8" i="63"/>
  <c r="J62" i="67"/>
  <c r="O4"/>
  <c r="N21" i="68"/>
  <c r="F82" i="94"/>
  <c r="N6" i="73"/>
  <c r="J30"/>
  <c r="D74" i="67"/>
  <c r="H100" i="32"/>
  <c r="K86" i="54"/>
  <c r="E20" i="81"/>
  <c r="H49" i="41"/>
  <c r="M65" i="34"/>
  <c r="L95" i="77"/>
  <c r="G62" i="26"/>
  <c r="H16" i="58"/>
  <c r="I45" i="36"/>
  <c r="J36" i="80"/>
  <c r="H94" i="62"/>
  <c r="F35" i="59"/>
  <c r="H95"/>
  <c r="D13" i="61"/>
  <c r="M18"/>
  <c r="G31" i="48"/>
  <c r="J27" i="71"/>
  <c r="L23" i="53"/>
  <c r="O45" i="47"/>
  <c r="E30" i="48"/>
  <c r="M106" i="45"/>
  <c r="F91" i="63"/>
  <c r="G30" i="55"/>
  <c r="L50" i="30"/>
  <c r="G80" i="56"/>
  <c r="K28" i="41"/>
  <c r="M9" i="74"/>
  <c r="M64" i="43"/>
  <c r="G54" i="45"/>
  <c r="L28" i="65"/>
  <c r="H22" i="58"/>
  <c r="N52" i="77"/>
  <c r="I107" i="93"/>
  <c r="L103" i="84"/>
  <c r="F31" i="49"/>
  <c r="K24" i="92"/>
  <c r="K33" i="29"/>
  <c r="M74" i="67"/>
  <c r="M53" i="81"/>
  <c r="K68" i="25"/>
  <c r="F27" i="77"/>
  <c r="I43" i="94"/>
  <c r="M71" i="41"/>
  <c r="L70" i="60"/>
  <c r="I21" i="47"/>
  <c r="E28" i="87"/>
  <c r="H106" i="70"/>
  <c r="H79" i="46"/>
  <c r="F16" i="54"/>
  <c r="G86" i="59"/>
  <c r="K35" i="77"/>
  <c r="F47" i="64"/>
  <c r="E94" i="54"/>
  <c r="N55" i="49"/>
  <c r="E65" i="94"/>
  <c r="K104" i="73"/>
  <c r="N54" i="38"/>
  <c r="G76" i="60"/>
  <c r="G16" i="93"/>
  <c r="J6" i="65"/>
  <c r="I97" i="36"/>
  <c r="N9" i="46"/>
  <c r="I38" i="62"/>
  <c r="M30" i="33"/>
  <c r="D97" i="62"/>
  <c r="G107" i="50"/>
  <c r="H80" i="54"/>
  <c r="K70" i="56"/>
  <c r="H86" i="62"/>
  <c r="E89" i="53"/>
  <c r="I49" i="84"/>
  <c r="J101" i="79"/>
  <c r="H89"/>
  <c r="G80" i="55"/>
  <c r="D76" i="66"/>
  <c r="H52" i="91"/>
  <c r="G59" i="69"/>
  <c r="E68" i="82"/>
  <c r="I92" i="42"/>
  <c r="N98" i="71"/>
  <c r="G80" i="82"/>
  <c r="L5" i="90"/>
  <c r="I44" i="36"/>
  <c r="E11" i="53"/>
  <c r="O70" i="54"/>
  <c r="L44" i="44"/>
  <c r="K79" i="53"/>
  <c r="G82" i="33"/>
  <c r="E38" i="39"/>
  <c r="N44" i="62"/>
  <c r="E89" i="41"/>
  <c r="G6" i="19"/>
  <c r="O50" i="30"/>
  <c r="G64" i="94"/>
  <c r="I74" i="62"/>
  <c r="F91" i="77"/>
  <c r="N14" i="55"/>
  <c r="F12" i="38"/>
  <c r="E17" i="35"/>
  <c r="F13" i="76"/>
  <c r="F98" i="38"/>
  <c r="M83" i="26"/>
  <c r="G17" i="70"/>
  <c r="J64" i="44"/>
  <c r="M49" i="83"/>
  <c r="I9" i="67"/>
  <c r="K83" i="53"/>
  <c r="J70" i="19"/>
  <c r="H73" i="49"/>
  <c r="G17" i="69"/>
  <c r="J23" i="74"/>
  <c r="J39" i="32"/>
  <c r="G17" i="62"/>
  <c r="N12" i="87"/>
  <c r="O11" i="89"/>
  <c r="G21" i="46"/>
  <c r="H57" i="85"/>
  <c r="H26" i="60"/>
  <c r="H12" i="56"/>
  <c r="F19" i="87"/>
  <c r="E26" i="26"/>
  <c r="E106" i="65"/>
  <c r="J79" i="33"/>
  <c r="L40" i="73"/>
  <c r="L19" i="70"/>
  <c r="O5" i="90"/>
  <c r="L62" i="45"/>
  <c r="N70" i="32"/>
  <c r="E5" i="46"/>
  <c r="J101" i="27"/>
  <c r="L31" i="68"/>
  <c r="N80" i="60"/>
  <c r="J9" i="27"/>
  <c r="E33" i="58"/>
  <c r="N26" i="46"/>
  <c r="G74" i="73"/>
  <c r="L62" i="46"/>
  <c r="H67" i="85"/>
  <c r="O77" i="59"/>
  <c r="F43" i="62"/>
  <c r="K95" i="30"/>
  <c r="D49" i="26"/>
  <c r="D10" i="45"/>
  <c r="F45" i="33"/>
  <c r="L59" i="36"/>
  <c r="M70" i="83"/>
  <c r="K42" i="36"/>
  <c r="H89" i="60"/>
  <c r="L46" i="56"/>
  <c r="K9" i="19"/>
  <c r="H7" i="87"/>
  <c r="I52" i="33"/>
  <c r="G52" i="34"/>
  <c r="O104" i="65"/>
  <c r="O73" i="75"/>
  <c r="K28" i="26"/>
  <c r="M31" i="51"/>
  <c r="F43" i="35"/>
  <c r="G55" i="80"/>
  <c r="I32" i="72"/>
  <c r="H59" i="87"/>
  <c r="O70" i="92"/>
  <c r="L23" i="68"/>
  <c r="I11" i="83"/>
  <c r="K32" i="86"/>
  <c r="K106" i="36"/>
  <c r="G24" i="19"/>
  <c r="J20" i="86"/>
  <c r="G13" i="50"/>
  <c r="D9" i="78"/>
  <c r="J61" i="76"/>
  <c r="F19" i="75"/>
  <c r="I36" i="85"/>
  <c r="D6" i="69"/>
  <c r="I8" i="55"/>
  <c r="G4" i="49"/>
  <c r="D52" i="76"/>
  <c r="E12" i="55"/>
  <c r="G14" i="68"/>
  <c r="H58" i="33"/>
  <c r="M49" i="61"/>
  <c r="F79" i="90"/>
  <c r="O15" i="55"/>
  <c r="J25" i="45"/>
  <c r="G83" i="69"/>
  <c r="N62" i="40"/>
  <c r="E55" i="56"/>
  <c r="I86" i="70"/>
  <c r="K22" i="65"/>
  <c r="H38" i="33"/>
  <c r="L65" i="29"/>
  <c r="O62" i="54"/>
  <c r="M77" i="63"/>
  <c r="I55" i="79"/>
  <c r="H65" i="45"/>
  <c r="N94" i="89"/>
  <c r="J33" i="57"/>
  <c r="I80" i="47"/>
  <c r="G4" i="59"/>
  <c r="H62" i="57"/>
  <c r="H79" i="92"/>
  <c r="L18" i="64"/>
  <c r="H17" i="54"/>
  <c r="E27" i="52"/>
  <c r="M62" i="66"/>
  <c r="N88" i="94"/>
  <c r="I17" i="39"/>
  <c r="G85" i="82"/>
  <c r="K38" i="62"/>
  <c r="K106" i="48"/>
  <c r="D70" i="53"/>
  <c r="E79" i="72"/>
  <c r="I49" i="34"/>
  <c r="J9" i="25"/>
  <c r="J74" i="43"/>
  <c r="M43" i="81"/>
  <c r="K26" i="83"/>
  <c r="M88" i="67"/>
  <c r="D13" i="70"/>
  <c r="F30" i="71"/>
  <c r="G61" i="41"/>
  <c r="M103" i="90"/>
  <c r="D31" i="40"/>
  <c r="F27" i="83"/>
  <c r="K28" i="69"/>
  <c r="J73" i="32"/>
  <c r="O64" i="56"/>
  <c r="J24" i="57"/>
  <c r="G40" i="69"/>
  <c r="H23" i="71"/>
  <c r="M48" i="41"/>
  <c r="H43" i="67"/>
  <c r="H11" i="80"/>
  <c r="L25" i="69"/>
  <c r="J4" i="44"/>
  <c r="H80" i="35"/>
  <c r="F29" i="63"/>
  <c r="I71" i="55"/>
  <c r="E17" i="80"/>
  <c r="E7" i="69"/>
  <c r="N106" i="65"/>
  <c r="M89" i="80"/>
  <c r="D5" i="64"/>
  <c r="E39" i="48"/>
  <c r="K28" i="70"/>
  <c r="D74" i="41"/>
  <c r="G44" i="87"/>
  <c r="O11" i="30"/>
  <c r="D41" i="57"/>
  <c r="I33" i="80"/>
  <c r="F51" i="55"/>
  <c r="E98" i="78"/>
  <c r="N74" i="40"/>
  <c r="I5" i="65"/>
  <c r="J83" i="75"/>
  <c r="L103" i="51"/>
  <c r="K39" i="19"/>
  <c r="M80" i="87"/>
  <c r="N85" i="80"/>
  <c r="D37" i="74"/>
  <c r="H19" i="55"/>
  <c r="J5" i="90"/>
  <c r="O74" i="33"/>
  <c r="E88" i="25"/>
  <c r="I40" i="48"/>
  <c r="I104" i="52"/>
  <c r="M13" i="53"/>
  <c r="M53" i="25"/>
  <c r="N55" i="70"/>
  <c r="L91" i="49"/>
  <c r="G92" i="83"/>
  <c r="N59" i="40"/>
  <c r="J80" i="50"/>
  <c r="L76" i="44"/>
  <c r="E79" i="46"/>
  <c r="I24" i="19"/>
  <c r="F5" i="86"/>
  <c r="H68" i="51"/>
  <c r="M43" i="41"/>
  <c r="H13"/>
  <c r="L46" i="40"/>
  <c r="K57" i="87"/>
  <c r="L6" i="83"/>
  <c r="N16" i="87"/>
  <c r="K95" i="51"/>
  <c r="K61" i="83"/>
  <c r="E32" i="75"/>
  <c r="J14" i="70"/>
  <c r="E62" i="25"/>
  <c r="F13" i="82"/>
  <c r="K5" i="94"/>
  <c r="F82" i="33"/>
  <c r="I7" i="63"/>
  <c r="M38" i="93"/>
  <c r="M59" i="34"/>
  <c r="E13" i="76"/>
  <c r="I53" i="94"/>
  <c r="L77" i="58"/>
  <c r="E88" i="64"/>
  <c r="N23" i="72"/>
  <c r="I22" i="52"/>
  <c r="N88" i="57"/>
  <c r="M98" i="86"/>
  <c r="I82" i="40"/>
  <c r="E7" i="50"/>
  <c r="K85" i="58"/>
  <c r="L62" i="68"/>
  <c r="J4" i="80"/>
  <c r="D20" i="75"/>
  <c r="L10" i="40"/>
  <c r="H53" i="25"/>
  <c r="N54" i="35"/>
  <c r="J29" i="34"/>
  <c r="D106" i="70"/>
  <c r="J15" i="46"/>
  <c r="G5" i="72"/>
  <c r="F8" i="74"/>
  <c r="N48" i="45"/>
  <c r="N94" i="72"/>
  <c r="D59" i="44"/>
  <c r="D8" i="36"/>
  <c r="L73" i="73"/>
  <c r="F67" i="78"/>
  <c r="I40" i="77"/>
  <c r="E103" i="94"/>
  <c r="E28" i="66"/>
  <c r="M101" i="19"/>
  <c r="I76"/>
  <c r="E48" i="55"/>
  <c r="L107" i="56"/>
  <c r="J36" i="49"/>
  <c r="G86" i="68"/>
  <c r="K6" i="53"/>
  <c r="M73" i="61"/>
  <c r="D9" i="51"/>
  <c r="L52" i="65"/>
  <c r="D79" i="50"/>
  <c r="K43" i="46"/>
  <c r="I16" i="66"/>
  <c r="L51" i="74"/>
  <c r="M41" i="58"/>
  <c r="J43" i="47"/>
  <c r="I68" i="87"/>
  <c r="I53" i="68"/>
  <c r="F77"/>
  <c r="E31" i="54"/>
  <c r="H24" i="72"/>
  <c r="I7" i="55"/>
  <c r="K59" i="65"/>
  <c r="H21" i="26"/>
  <c r="G30" i="74"/>
  <c r="K43" i="55"/>
  <c r="L36" i="69"/>
  <c r="L48" i="26"/>
  <c r="G12" i="38"/>
  <c r="O91" i="44"/>
  <c r="E54" i="89"/>
  <c r="O20" i="93"/>
  <c r="D107" i="19"/>
  <c r="F83" i="44"/>
  <c r="F41" i="73"/>
  <c r="E49" i="80"/>
  <c r="M103" i="65"/>
  <c r="J65" i="57"/>
  <c r="D25" i="43"/>
  <c r="O100" i="76"/>
  <c r="K98" i="30"/>
  <c r="K58" i="51"/>
  <c r="D39" i="60"/>
  <c r="M73" i="81"/>
  <c r="M53" i="53"/>
  <c r="O46" i="58"/>
  <c r="K32" i="44"/>
  <c r="F97" i="71"/>
  <c r="D9" i="77"/>
  <c r="H10" i="35"/>
  <c r="J52" i="78"/>
  <c r="D34" i="30"/>
  <c r="L30" i="60"/>
  <c r="J6" i="47"/>
  <c r="D9" i="29"/>
  <c r="K18" i="68"/>
  <c r="E27" i="56"/>
  <c r="M19" i="84"/>
  <c r="O80" i="93"/>
  <c r="D24" i="44"/>
  <c r="F55" i="80"/>
  <c r="G16" i="63"/>
  <c r="N57" i="25"/>
  <c r="M8" i="63"/>
  <c r="G107" i="44"/>
  <c r="K86"/>
  <c r="O74" i="35"/>
  <c r="G70" i="67"/>
  <c r="N65" i="76"/>
  <c r="H29" i="81"/>
  <c r="J64" i="43"/>
  <c r="J103" i="48"/>
  <c r="I53" i="82"/>
  <c r="D41" i="26"/>
  <c r="O17" i="49"/>
  <c r="H101" i="61"/>
  <c r="N16" i="70"/>
  <c r="N100" i="80"/>
  <c r="E49" i="86"/>
  <c r="O36" i="80"/>
  <c r="D44" i="56"/>
  <c r="J62" i="84"/>
  <c r="O51" i="40"/>
  <c r="H97" i="89"/>
  <c r="O7" i="62"/>
  <c r="H57"/>
  <c r="F34" i="72"/>
  <c r="J29" i="77"/>
  <c r="O33" i="53"/>
  <c r="D37" i="51"/>
  <c r="K24" i="63"/>
  <c r="L11" i="77"/>
  <c r="J19" i="47"/>
  <c r="E88" i="80"/>
  <c r="I89" i="66"/>
  <c r="D97" i="41"/>
  <c r="D94" i="71"/>
  <c r="F36" i="80"/>
  <c r="L80" i="92"/>
  <c r="O97" i="27"/>
  <c r="F54" i="61"/>
  <c r="H104" i="78"/>
  <c r="M98" i="92"/>
  <c r="K57" i="30"/>
  <c r="M17" i="59"/>
  <c r="E13" i="41"/>
  <c r="H52" i="77"/>
  <c r="O39" i="66"/>
  <c r="N98" i="69"/>
  <c r="D12" i="64"/>
  <c r="E16" i="19"/>
  <c r="E98" i="63"/>
  <c r="M68" i="77"/>
  <c r="E83" i="92"/>
  <c r="J104" i="44"/>
  <c r="I20" i="81"/>
  <c r="I7" i="90"/>
  <c r="J4" i="19"/>
  <c r="E42" i="82"/>
  <c r="O89" i="94"/>
  <c r="N50" i="90"/>
  <c r="I32" i="75"/>
  <c r="D27" i="67"/>
  <c r="M19" i="44"/>
  <c r="G27" i="19"/>
  <c r="L32" i="54"/>
  <c r="F101" i="76"/>
  <c r="G71" i="30"/>
  <c r="H101" i="54"/>
  <c r="L43" i="80"/>
  <c r="J74" i="53"/>
  <c r="G28" i="50"/>
  <c r="L18" i="74"/>
  <c r="N70" i="33"/>
  <c r="J18" i="26"/>
  <c r="N95" i="39"/>
  <c r="H40" i="72"/>
  <c r="F92" i="48"/>
  <c r="F54" i="67"/>
  <c r="L68" i="51"/>
  <c r="N15" i="49"/>
  <c r="H21" i="36"/>
  <c r="F71" i="62"/>
  <c r="J57" i="81"/>
  <c r="H94" i="49"/>
  <c r="J39" i="39"/>
  <c r="O50" i="49"/>
  <c r="J83" i="63"/>
  <c r="L12" i="29"/>
  <c r="O79" i="26"/>
  <c r="G98" i="47"/>
  <c r="N5" i="65"/>
  <c r="G56" i="42"/>
  <c r="I7" i="68"/>
  <c r="N15" i="75"/>
  <c r="G53" i="26"/>
  <c r="O100" i="25"/>
  <c r="K48" i="46"/>
  <c r="G31" i="67"/>
  <c r="N8" i="63"/>
  <c r="D55" i="61"/>
  <c r="I31" i="80"/>
  <c r="M80" i="54"/>
  <c r="G86" i="79"/>
  <c r="G107" i="57"/>
  <c r="G43" i="90"/>
  <c r="D30" i="94"/>
  <c r="N27" i="58"/>
  <c r="J45" i="62"/>
  <c r="G43" i="19"/>
  <c r="G88" i="45"/>
  <c r="O22" i="78"/>
  <c r="J28" i="82"/>
  <c r="D13" i="60"/>
  <c r="O51" i="64"/>
  <c r="D27" i="30"/>
  <c r="H95" i="32"/>
  <c r="M20" i="38"/>
  <c r="L27" i="73"/>
  <c r="E73" i="75"/>
  <c r="M23" i="53"/>
  <c r="K30" i="90"/>
  <c r="K57" i="89"/>
  <c r="L61" i="68"/>
  <c r="J48" i="69"/>
  <c r="J100" i="56"/>
  <c r="K80" i="46"/>
  <c r="E85" i="63"/>
  <c r="O67" i="58"/>
  <c r="K5" i="67"/>
  <c r="K7" i="92"/>
  <c r="H61" i="38"/>
  <c r="K42" i="86"/>
  <c r="O6" i="45"/>
  <c r="J39" i="41"/>
  <c r="H100" i="34"/>
  <c r="F83" i="91"/>
  <c r="F33" i="25"/>
  <c r="M80" i="69"/>
  <c r="O98" i="81"/>
  <c r="G10" i="92"/>
  <c r="L29" i="46"/>
  <c r="E104" i="91"/>
  <c r="E104" i="25"/>
  <c r="D42" i="71"/>
  <c r="J100" i="25"/>
  <c r="M104" i="41"/>
  <c r="E20" i="50"/>
  <c r="L58" i="90"/>
  <c r="O46" i="93"/>
  <c r="J68" i="78"/>
  <c r="E47" i="83"/>
  <c r="L14" i="61"/>
  <c r="J44" i="71"/>
  <c r="L39" i="60"/>
  <c r="G44" i="90"/>
  <c r="N7" i="46"/>
  <c r="O8" i="68"/>
  <c r="M47" i="80"/>
  <c r="J97" i="72"/>
  <c r="E21" i="38"/>
  <c r="J15" i="90"/>
  <c r="D61" i="61"/>
  <c r="E34" i="59"/>
  <c r="O86" i="64"/>
  <c r="O85" i="32"/>
  <c r="D61" i="71"/>
  <c r="H49" i="92"/>
  <c r="H68" i="76"/>
  <c r="O7" i="75"/>
  <c r="N107" i="38"/>
  <c r="J64" i="53"/>
  <c r="N56" i="44"/>
  <c r="E26" i="77"/>
  <c r="K35" i="26"/>
  <c r="N45" i="70"/>
  <c r="J80" i="68"/>
  <c r="K67" i="51"/>
  <c r="N24" i="49"/>
  <c r="I76" i="83"/>
  <c r="D64" i="26"/>
  <c r="N14" i="32"/>
  <c r="H31" i="52"/>
  <c r="F49" i="57"/>
  <c r="M48" i="25"/>
  <c r="J85" i="58"/>
  <c r="M42" i="65"/>
  <c r="D11" i="27"/>
  <c r="F15" i="94"/>
  <c r="O16" i="67"/>
  <c r="F31" i="87"/>
  <c r="H56" i="76"/>
  <c r="H104" i="92"/>
  <c r="G38" i="87"/>
  <c r="F77" i="53"/>
  <c r="K32" i="75"/>
  <c r="L29"/>
  <c r="J45" i="45"/>
  <c r="F34" i="40"/>
  <c r="I77" i="50"/>
  <c r="L67" i="77"/>
  <c r="O46" i="19"/>
  <c r="J42" i="86"/>
  <c r="D73" i="77"/>
  <c r="I83" i="70"/>
  <c r="L37" i="63"/>
  <c r="H26" i="26"/>
  <c r="M79" i="91"/>
  <c r="K80" i="45"/>
  <c r="K41" i="75"/>
  <c r="H107"/>
  <c r="L44" i="83"/>
  <c r="M13" i="45"/>
  <c r="H4" i="25"/>
  <c r="E44" i="27"/>
  <c r="I14" i="55"/>
  <c r="O12" i="53"/>
  <c r="N104" i="78"/>
  <c r="F79" i="44"/>
  <c r="F19" i="40"/>
  <c r="G37" i="39"/>
  <c r="H33" i="79"/>
  <c r="I43" i="43"/>
  <c r="D50" i="69"/>
  <c r="I5" i="55"/>
  <c r="M98" i="83"/>
  <c r="K17" i="77"/>
  <c r="N40" i="78"/>
  <c r="F7" i="25"/>
  <c r="O44" i="86"/>
  <c r="H54" i="36"/>
  <c r="E36" i="71"/>
  <c r="K64" i="93"/>
  <c r="H82" i="61"/>
  <c r="G107" i="38"/>
  <c r="D41" i="85"/>
  <c r="J101" i="57"/>
  <c r="O85" i="56"/>
  <c r="G8" i="35"/>
  <c r="D42" i="61"/>
  <c r="O82" i="90"/>
  <c r="O5" i="26"/>
  <c r="I41" i="69"/>
  <c r="D23" i="33"/>
  <c r="N7" i="39"/>
  <c r="N6" i="76"/>
  <c r="I88" i="69"/>
  <c r="M100" i="90"/>
  <c r="F16" i="33"/>
  <c r="J45" i="58"/>
  <c r="J30" i="63"/>
  <c r="H4" i="47"/>
  <c r="K10" i="67"/>
  <c r="N34" i="34"/>
  <c r="G85" i="68"/>
  <c r="E44" i="61"/>
  <c r="N83" i="76"/>
  <c r="L64" i="64"/>
  <c r="K45" i="67"/>
  <c r="G28" i="51"/>
  <c r="K39" i="26"/>
  <c r="F79" i="81"/>
  <c r="D76" i="64"/>
  <c r="D43" i="55"/>
  <c r="N4" i="78"/>
  <c r="O82" i="94"/>
  <c r="D30" i="84"/>
  <c r="K47" i="82"/>
  <c r="E38" i="72"/>
  <c r="N45" i="19"/>
  <c r="O7" i="43"/>
  <c r="E49" i="93"/>
  <c r="G6" i="90"/>
  <c r="O39" i="43"/>
  <c r="K17" i="53"/>
  <c r="M101" i="44"/>
  <c r="K85" i="72"/>
  <c r="O40" i="53"/>
  <c r="K12" i="44"/>
  <c r="K17" i="49"/>
  <c r="J76" i="70"/>
  <c r="I70" i="56"/>
  <c r="E13" i="86"/>
  <c r="E46" i="60"/>
  <c r="E101" i="39"/>
  <c r="L91" i="40"/>
  <c r="N28" i="36"/>
  <c r="F18" i="53"/>
  <c r="H19" i="34"/>
  <c r="M55" i="57"/>
  <c r="K42" i="34"/>
  <c r="F22" i="57"/>
  <c r="D104" i="91"/>
  <c r="M64" i="32"/>
  <c r="I49" i="56"/>
  <c r="K89" i="25"/>
  <c r="M57" i="59"/>
  <c r="K42" i="92"/>
  <c r="I94" i="60"/>
  <c r="N47"/>
  <c r="D89" i="34"/>
  <c r="K37" i="56"/>
  <c r="H104" i="76"/>
  <c r="H88" i="64"/>
  <c r="D42" i="84"/>
  <c r="D28" i="51"/>
  <c r="E54" i="76"/>
  <c r="D107" i="79"/>
  <c r="K89" i="81"/>
  <c r="M20" i="53"/>
  <c r="E14" i="35"/>
  <c r="G19" i="26"/>
  <c r="O101" i="33"/>
  <c r="M32" i="66"/>
  <c r="G98" i="40"/>
  <c r="J4" i="33"/>
  <c r="F4" i="42"/>
  <c r="F42" i="89"/>
  <c r="D68" i="84"/>
  <c r="N65" i="62"/>
  <c r="H57" i="75"/>
  <c r="L71" i="82"/>
  <c r="L54" i="67"/>
  <c r="H89" i="55"/>
  <c r="D86" i="30"/>
  <c r="E37" i="55"/>
  <c r="M77" i="62"/>
  <c r="I38" i="79"/>
  <c r="N71" i="48"/>
  <c r="H98" i="51"/>
  <c r="D30" i="77"/>
  <c r="D77" i="82"/>
  <c r="J6" i="41"/>
  <c r="K67" i="44"/>
  <c r="N49" i="51"/>
  <c r="H94" i="59"/>
  <c r="J38" i="41"/>
  <c r="O70" i="25"/>
  <c r="G48" i="44"/>
  <c r="G52" i="59"/>
  <c r="L30" i="63"/>
  <c r="O37" i="35"/>
  <c r="H106" i="71"/>
  <c r="F53" i="52"/>
  <c r="O9" i="36"/>
  <c r="H82" i="74"/>
  <c r="E20" i="43"/>
  <c r="E95" i="62"/>
  <c r="E13" i="59"/>
  <c r="D25" i="36"/>
  <c r="H70" i="68"/>
  <c r="O76" i="72"/>
  <c r="O13" i="91"/>
  <c r="N12" i="19"/>
  <c r="E46" i="33"/>
  <c r="H23" i="91"/>
  <c r="N88" i="46"/>
  <c r="N41" i="59"/>
  <c r="L67" i="30"/>
  <c r="D34" i="92"/>
  <c r="N67" i="59"/>
  <c r="H32" i="80"/>
  <c r="H83" i="83"/>
  <c r="M83" i="62"/>
  <c r="M59" i="36"/>
  <c r="L98" i="67"/>
  <c r="H91" i="59"/>
  <c r="M57" i="57"/>
  <c r="D10" i="90"/>
  <c r="K101" i="66"/>
  <c r="I9" i="58"/>
  <c r="J47" i="51"/>
  <c r="L4" i="61"/>
  <c r="M47" i="76"/>
  <c r="M41" i="69"/>
  <c r="E101" i="73"/>
  <c r="M76" i="70"/>
  <c r="E68" i="45"/>
  <c r="I11" i="39"/>
  <c r="I85" i="89"/>
  <c r="E41" i="35"/>
  <c r="D9" i="48"/>
  <c r="D13" i="65"/>
  <c r="F57" i="57"/>
  <c r="N92" i="82"/>
  <c r="H91" i="41"/>
  <c r="D59" i="66"/>
  <c r="G30" i="68"/>
  <c r="I92" i="48"/>
  <c r="O98" i="66"/>
  <c r="J83" i="57"/>
  <c r="M43" i="92"/>
  <c r="K30" i="61"/>
  <c r="G14" i="43"/>
  <c r="E58" i="39"/>
  <c r="O53" i="25"/>
  <c r="J98" i="47"/>
  <c r="E40" i="50"/>
  <c r="L104" i="32"/>
  <c r="J54"/>
  <c r="M68" i="83"/>
  <c r="J58" i="66"/>
  <c r="G53" i="34"/>
  <c r="O94"/>
  <c r="K68" i="41"/>
  <c r="I74" i="83"/>
  <c r="D89" i="62"/>
  <c r="F43" i="25"/>
  <c r="H98" i="55"/>
  <c r="J56" i="57"/>
  <c r="E106" i="61"/>
  <c r="L23" i="72"/>
  <c r="H64" i="82"/>
  <c r="E28" i="84"/>
  <c r="E22" i="66"/>
  <c r="D61" i="62"/>
  <c r="J12" i="90"/>
  <c r="G80" i="51"/>
  <c r="I82" i="32"/>
  <c r="D59" i="35"/>
  <c r="D86" i="70"/>
  <c r="N41" i="47"/>
  <c r="N58" i="54"/>
  <c r="H28" i="59"/>
  <c r="H5" i="53"/>
  <c r="M104" i="68"/>
  <c r="M23" i="47"/>
  <c r="D100" i="64"/>
  <c r="E13" i="60"/>
  <c r="K17" i="83"/>
  <c r="F37" i="50"/>
  <c r="D16" i="33"/>
  <c r="E4" i="94"/>
  <c r="L22" i="90"/>
  <c r="L8" i="19"/>
  <c r="I24" i="49"/>
  <c r="I32" i="77"/>
  <c r="I7" i="38"/>
  <c r="K20" i="87"/>
  <c r="L9" i="90"/>
  <c r="L6" i="34"/>
  <c r="O107" i="84"/>
  <c r="F38" i="74"/>
  <c r="N23" i="30"/>
  <c r="N14" i="72"/>
  <c r="O37" i="75"/>
  <c r="M9" i="65"/>
  <c r="L43" i="43"/>
  <c r="K8" i="70"/>
  <c r="D46" i="54"/>
  <c r="H10" i="83"/>
  <c r="L71" i="84"/>
  <c r="N58" i="55"/>
  <c r="J82" i="40"/>
  <c r="E15" i="36"/>
  <c r="F101" i="73"/>
  <c r="G25" i="30"/>
  <c r="K62" i="66"/>
  <c r="I17" i="44"/>
  <c r="M76" i="27"/>
  <c r="G76"/>
  <c r="H50" i="80"/>
  <c r="M36" i="67"/>
  <c r="M62" i="26"/>
  <c r="D57" i="90"/>
  <c r="N14" i="44"/>
  <c r="D54" i="55"/>
  <c r="M11" i="38"/>
  <c r="J74" i="67"/>
  <c r="E19" i="33"/>
  <c r="M56" i="48"/>
  <c r="F23" i="54"/>
  <c r="E29" i="69"/>
  <c r="L41" i="65"/>
  <c r="I92" i="85"/>
  <c r="J86" i="58"/>
  <c r="F71" i="55"/>
  <c r="O30" i="36"/>
  <c r="I91" i="75"/>
  <c r="O95" i="76"/>
  <c r="D61" i="72"/>
  <c r="L49" i="68"/>
  <c r="O67" i="25"/>
  <c r="I49" i="69"/>
  <c r="H104" i="48"/>
  <c r="O27" i="30"/>
  <c r="K101" i="40"/>
  <c r="E61" i="74"/>
  <c r="J55" i="35"/>
  <c r="D30" i="39"/>
  <c r="N79" i="94"/>
  <c r="E89" i="44"/>
  <c r="G71" i="92"/>
  <c r="L16" i="57"/>
  <c r="K92" i="70"/>
  <c r="L74" i="39"/>
  <c r="H104" i="38"/>
  <c r="K77" i="32"/>
  <c r="D36" i="45"/>
  <c r="J77" i="89"/>
  <c r="E19" i="44"/>
  <c r="I22" i="33"/>
  <c r="M13" i="48"/>
  <c r="E104" i="66"/>
  <c r="H40" i="58"/>
  <c r="E94" i="66"/>
  <c r="O18" i="67"/>
  <c r="N65" i="35"/>
  <c r="O25" i="71"/>
  <c r="D53" i="36"/>
  <c r="D7" i="54"/>
  <c r="K31" i="35"/>
  <c r="H43" i="34"/>
  <c r="L30" i="87"/>
  <c r="L34" i="38"/>
  <c r="H71" i="86"/>
  <c r="J91" i="43"/>
  <c r="M44" i="77"/>
  <c r="G88" i="62"/>
  <c r="O62" i="34"/>
  <c r="E89" i="82"/>
  <c r="D97" i="63"/>
  <c r="K47" i="70"/>
  <c r="O29" i="78"/>
  <c r="F35" i="93"/>
  <c r="F45" i="32"/>
  <c r="D47" i="62"/>
  <c r="E44" i="63"/>
  <c r="K67" i="90"/>
  <c r="L59" i="93"/>
  <c r="H82" i="47"/>
  <c r="I14" i="57"/>
  <c r="H79" i="56"/>
  <c r="L85" i="83"/>
  <c r="I13" i="78"/>
  <c r="K91" i="77"/>
  <c r="M22" i="64"/>
  <c r="H28" i="69"/>
  <c r="K104" i="81"/>
  <c r="M71" i="45"/>
  <c r="F40" i="86"/>
  <c r="D104" i="25"/>
  <c r="H7" i="66"/>
  <c r="H8" i="84"/>
  <c r="O30" i="30"/>
  <c r="N80" i="25"/>
  <c r="L73" i="83"/>
  <c r="H12" i="80"/>
  <c r="N91" i="60"/>
  <c r="I30" i="79"/>
  <c r="N61" i="40"/>
  <c r="N89" i="45"/>
  <c r="I20" i="85"/>
  <c r="I40" i="65"/>
  <c r="L86" i="59"/>
  <c r="K41" i="76"/>
  <c r="F25" i="93"/>
  <c r="L6" i="39"/>
  <c r="N70" i="94"/>
  <c r="H23" i="81"/>
  <c r="G12" i="93"/>
  <c r="F42" i="82"/>
  <c r="K68" i="93"/>
  <c r="L89" i="57"/>
  <c r="N88" i="81"/>
  <c r="I5" i="76"/>
  <c r="O67" i="27"/>
  <c r="D83" i="46"/>
  <c r="M14" i="38"/>
  <c r="L106" i="68"/>
  <c r="E43" i="71"/>
  <c r="L37" i="62"/>
  <c r="H77" i="86"/>
  <c r="K32" i="27"/>
  <c r="I51" i="64"/>
  <c r="O101" i="66"/>
  <c r="L39" i="48"/>
  <c r="L23" i="83"/>
  <c r="I46" i="64"/>
  <c r="K98" i="54"/>
  <c r="F12" i="70"/>
  <c r="N47" i="84"/>
  <c r="J86" i="94"/>
  <c r="E15" i="27"/>
  <c r="K36" i="35"/>
  <c r="D42" i="81"/>
  <c r="I24" i="48"/>
  <c r="M64" i="41"/>
  <c r="O47" i="72"/>
  <c r="I74" i="44"/>
  <c r="I31" i="91"/>
  <c r="N20" i="78"/>
  <c r="I22" i="76"/>
  <c r="K43" i="41"/>
  <c r="J11" i="48"/>
  <c r="CJ30" i="3"/>
  <c r="G19" i="94"/>
  <c r="K97" i="49"/>
  <c r="K64" i="54"/>
  <c r="J12" i="68"/>
  <c r="O104" i="32"/>
  <c r="H100" i="92"/>
  <c r="J9" i="49"/>
  <c r="F7" i="19"/>
  <c r="G91" i="61"/>
  <c r="N86" i="90"/>
  <c r="F86" i="65"/>
  <c r="M12" i="73"/>
  <c r="G25" i="58"/>
  <c r="F92" i="94"/>
  <c r="G14" i="34"/>
  <c r="K67" i="84"/>
  <c r="E35" i="82"/>
  <c r="N55" i="61"/>
  <c r="N6" i="62"/>
  <c r="O41" i="59"/>
  <c r="L45" i="45"/>
  <c r="J52" i="70"/>
  <c r="H82"/>
  <c r="H103" i="46"/>
  <c r="O91" i="34"/>
  <c r="N50" i="62"/>
  <c r="O41" i="63"/>
  <c r="D17" i="50"/>
  <c r="I33"/>
  <c r="K39" i="54"/>
  <c r="D44" i="34"/>
  <c r="F86" i="57"/>
  <c r="I33" i="60"/>
  <c r="H27" i="79"/>
  <c r="M41" i="77"/>
  <c r="N17" i="54"/>
  <c r="J103" i="59"/>
  <c r="O76" i="49"/>
  <c r="I34" i="58"/>
  <c r="I56" i="82"/>
  <c r="N23" i="40"/>
  <c r="O83" i="80"/>
  <c r="J36" i="84"/>
  <c r="M58" i="40"/>
  <c r="F37" i="63"/>
  <c r="M103" i="33"/>
  <c r="E94" i="77"/>
  <c r="K57" i="94"/>
  <c r="D35" i="36"/>
  <c r="E14" i="73"/>
  <c r="I28" i="32"/>
  <c r="E91" i="61"/>
  <c r="M61" i="44"/>
  <c r="O23" i="39"/>
  <c r="E28" i="38"/>
  <c r="J101" i="55"/>
  <c r="N42" i="90"/>
  <c r="CG31" i="3"/>
  <c r="O58" i="27"/>
  <c r="O39" i="83"/>
  <c r="D13" i="35"/>
  <c r="G64" i="93"/>
  <c r="G37" i="63"/>
  <c r="L67" i="90"/>
  <c r="F104" i="94"/>
  <c r="D79" i="92"/>
  <c r="O61" i="74"/>
  <c r="E31" i="48"/>
  <c r="O73" i="45"/>
  <c r="I29" i="50"/>
  <c r="F88" i="74"/>
  <c r="M29" i="51"/>
  <c r="J5" i="65"/>
  <c r="J48" i="53"/>
  <c r="E67" i="90"/>
  <c r="J4" i="61"/>
  <c r="G40" i="58"/>
  <c r="K24" i="34"/>
  <c r="M23" i="26"/>
  <c r="E73" i="84"/>
  <c r="L18"/>
  <c r="M54" i="34"/>
  <c r="M76" i="53"/>
  <c r="F34" i="25"/>
  <c r="M20" i="61"/>
  <c r="E47" i="39"/>
  <c r="D92" i="79"/>
  <c r="D73" i="60"/>
  <c r="F6" i="61"/>
  <c r="L4" i="90"/>
  <c r="E19" i="41"/>
  <c r="M6" i="82"/>
  <c r="F46" i="85"/>
  <c r="K31" i="71"/>
  <c r="K49" i="53"/>
  <c r="N45" i="80"/>
  <c r="M37" i="93"/>
  <c r="E23" i="84"/>
  <c r="N40" i="48"/>
  <c r="M89" i="33"/>
  <c r="H74" i="52"/>
  <c r="L17" i="75"/>
  <c r="G74" i="89"/>
  <c r="F62" i="85"/>
  <c r="J18" i="33"/>
  <c r="H4" i="65"/>
  <c r="M68" i="46"/>
  <c r="E64" i="51"/>
  <c r="G91" i="27"/>
  <c r="F30" i="36"/>
  <c r="K8" i="77"/>
  <c r="J44" i="80"/>
  <c r="L53" i="47"/>
  <c r="K92" i="44"/>
  <c r="I35" i="90"/>
  <c r="O70" i="75"/>
  <c r="D97" i="27"/>
  <c r="I9" i="90"/>
  <c r="I16"/>
  <c r="O35" i="60"/>
  <c r="G67" i="89"/>
  <c r="N106" i="56"/>
  <c r="E6" i="43"/>
  <c r="M18" i="86"/>
  <c r="K30" i="68"/>
  <c r="J46" i="50"/>
  <c r="N65" i="89"/>
  <c r="D38" i="68"/>
  <c r="J30" i="76"/>
  <c r="K21" i="19"/>
  <c r="N83" i="93"/>
  <c r="M13" i="64"/>
  <c r="J101" i="89"/>
  <c r="I85" i="44"/>
  <c r="G68" i="84"/>
  <c r="G5" i="44"/>
  <c r="H20" i="36"/>
  <c r="I52" i="68"/>
  <c r="J37" i="72"/>
  <c r="M5" i="44"/>
  <c r="I82" i="94"/>
  <c r="G56" i="35"/>
  <c r="N92" i="87"/>
  <c r="F45" i="93"/>
  <c r="K53" i="76"/>
  <c r="J65" i="77"/>
  <c r="O33" i="65"/>
  <c r="H34" i="78"/>
  <c r="L8" i="26"/>
  <c r="K77" i="70"/>
  <c r="N57" i="54"/>
  <c r="O100" i="26"/>
  <c r="E21" i="55"/>
  <c r="M59" i="27"/>
  <c r="E76" i="75"/>
  <c r="E58" i="84"/>
  <c r="O46" i="38"/>
  <c r="K25" i="77"/>
  <c r="F73" i="92"/>
  <c r="O12" i="45"/>
  <c r="N45" i="94"/>
  <c r="J79" i="34"/>
  <c r="M41" i="68"/>
  <c r="J50" i="72"/>
  <c r="J31" i="65"/>
  <c r="O49" i="39"/>
  <c r="H49" i="44"/>
  <c r="M36" i="54"/>
  <c r="D41" i="68"/>
  <c r="K79" i="55"/>
  <c r="F85" i="25"/>
  <c r="F21" i="41"/>
  <c r="N30" i="25"/>
  <c r="M67" i="62"/>
  <c r="M103" i="89"/>
  <c r="J25" i="77"/>
  <c r="N51" i="71"/>
  <c r="G106" i="66"/>
  <c r="N23" i="78"/>
  <c r="D67" i="51"/>
  <c r="F24" i="50"/>
  <c r="I106" i="48"/>
  <c r="H21" i="63"/>
  <c r="E25" i="90"/>
  <c r="K36" i="47"/>
  <c r="E43" i="64"/>
  <c r="G58" i="50"/>
  <c r="F82" i="53"/>
  <c r="G8" i="89"/>
  <c r="K46" i="67"/>
  <c r="G21" i="90"/>
  <c r="N25" i="57"/>
  <c r="G25" i="46"/>
  <c r="H9" i="40"/>
  <c r="H59" i="77"/>
  <c r="N53" i="80"/>
  <c r="G11" i="85"/>
  <c r="G54" i="33"/>
  <c r="O74" i="73"/>
  <c r="F42" i="41"/>
  <c r="L95" i="38"/>
  <c r="I67" i="32"/>
  <c r="D82" i="45"/>
  <c r="I107" i="69"/>
  <c r="I36" i="74"/>
  <c r="J28" i="83"/>
  <c r="M25" i="59"/>
  <c r="F88" i="25"/>
  <c r="G95" i="74"/>
  <c r="O40" i="34"/>
  <c r="N55" i="87"/>
  <c r="G13" i="84"/>
  <c r="O5" i="58"/>
  <c r="N42" i="62"/>
  <c r="N13" i="72"/>
  <c r="K62" i="43"/>
  <c r="M4" i="74"/>
  <c r="N40" i="30"/>
  <c r="D29" i="35"/>
  <c r="E97" i="76"/>
  <c r="F22" i="33"/>
  <c r="G44" i="42"/>
  <c r="E24" i="25"/>
  <c r="O67" i="55"/>
  <c r="N21" i="56"/>
  <c r="O83" i="61"/>
  <c r="I104" i="91"/>
  <c r="E13" i="84"/>
  <c r="L97" i="72"/>
  <c r="J68" i="68"/>
  <c r="G33" i="60"/>
  <c r="E94" i="40"/>
  <c r="F30" i="46"/>
  <c r="N6" i="57"/>
  <c r="F7" i="86"/>
  <c r="O64" i="32"/>
  <c r="O65" i="48"/>
  <c r="I104" i="90"/>
  <c r="J79" i="53"/>
  <c r="J15" i="35"/>
  <c r="M7" i="41"/>
  <c r="M14" i="67"/>
  <c r="L85" i="44"/>
  <c r="F34" i="39"/>
  <c r="E54" i="87"/>
  <c r="E12" i="26"/>
  <c r="H91" i="70"/>
  <c r="M67" i="30"/>
  <c r="L67" i="54"/>
  <c r="L57" i="55"/>
  <c r="N64" i="32"/>
  <c r="J74" i="94"/>
  <c r="K38" i="77"/>
  <c r="L18" i="62"/>
  <c r="E106" i="76"/>
  <c r="I12" i="59"/>
  <c r="E24" i="90"/>
  <c r="K45" i="53"/>
  <c r="D16" i="48"/>
  <c r="K46" i="86"/>
  <c r="G6" i="81"/>
  <c r="L56" i="84"/>
  <c r="D76" i="67"/>
  <c r="M31" i="40"/>
  <c r="O74" i="94"/>
  <c r="D49" i="82"/>
  <c r="J46" i="63"/>
  <c r="I91" i="87"/>
  <c r="O31"/>
  <c r="I100" i="80"/>
  <c r="H32" i="63"/>
  <c r="J24" i="74"/>
  <c r="E67" i="42"/>
  <c r="G36"/>
  <c r="O77" i="33"/>
  <c r="F62" i="72"/>
  <c r="K53" i="68"/>
  <c r="E76" i="67"/>
  <c r="L13" i="66"/>
  <c r="O91" i="89"/>
  <c r="D104" i="38"/>
  <c r="O98" i="86"/>
  <c r="D28" i="60"/>
  <c r="E15" i="72"/>
  <c r="I27" i="33"/>
  <c r="J77" i="54"/>
  <c r="L95" i="61"/>
  <c r="E61" i="19"/>
  <c r="I54" i="89"/>
  <c r="N51"/>
  <c r="D23" i="79"/>
  <c r="F73" i="35"/>
  <c r="O44" i="93"/>
  <c r="F43" i="92"/>
  <c r="O35" i="44"/>
  <c r="J20" i="94"/>
  <c r="O100" i="40"/>
  <c r="I101" i="36"/>
  <c r="I13" i="80"/>
  <c r="F12" i="59"/>
  <c r="D35" i="55"/>
  <c r="M11" i="41"/>
  <c r="K11" i="86"/>
  <c r="I15"/>
  <c r="N76" i="77"/>
  <c r="H107" i="51"/>
  <c r="I57" i="58"/>
  <c r="L29" i="48"/>
  <c r="H62" i="29"/>
  <c r="F7" i="72"/>
  <c r="E7" i="43"/>
  <c r="H43" i="92"/>
  <c r="H89" i="44"/>
  <c r="J65" i="69"/>
  <c r="G57" i="74"/>
  <c r="J77" i="44"/>
  <c r="K13" i="51"/>
  <c r="O77" i="75"/>
  <c r="F32" i="72"/>
  <c r="E98" i="70"/>
  <c r="M29" i="29"/>
  <c r="M29" i="67"/>
  <c r="G67" i="70"/>
  <c r="I107" i="94"/>
  <c r="G12" i="48"/>
  <c r="G47" i="43"/>
  <c r="J89" i="62"/>
  <c r="M11" i="30"/>
  <c r="L70" i="57"/>
  <c r="N68" i="64"/>
  <c r="F35" i="68"/>
  <c r="D100" i="26"/>
  <c r="L47" i="39"/>
  <c r="N30" i="83"/>
  <c r="F89" i="64"/>
  <c r="I37" i="71"/>
  <c r="N54"/>
  <c r="J38" i="91"/>
  <c r="E33" i="52"/>
  <c r="O27" i="45"/>
  <c r="G15" i="69"/>
  <c r="F7" i="66"/>
  <c r="K13" i="78"/>
  <c r="D68" i="53"/>
  <c r="E47" i="34"/>
  <c r="K94" i="70"/>
  <c r="G16" i="76"/>
  <c r="D70" i="75"/>
  <c r="J98" i="41"/>
  <c r="N39" i="54"/>
  <c r="F68" i="86"/>
  <c r="D44" i="64"/>
  <c r="G51" i="94"/>
  <c r="F62" i="34"/>
  <c r="E101" i="67"/>
  <c r="N74" i="25"/>
  <c r="F7" i="40"/>
  <c r="K55" i="33"/>
  <c r="J59" i="45"/>
  <c r="E101" i="90"/>
  <c r="H76" i="64"/>
  <c r="D64" i="54"/>
  <c r="G49" i="43"/>
  <c r="F53" i="56"/>
  <c r="K103" i="90"/>
  <c r="I55" i="47"/>
  <c r="G50" i="71"/>
  <c r="I106"/>
  <c r="F46" i="67"/>
  <c r="N28" i="34"/>
  <c r="J27" i="60"/>
  <c r="I49" i="66"/>
  <c r="M85" i="45"/>
  <c r="J38" i="63"/>
  <c r="H73" i="61"/>
  <c r="H101" i="60"/>
  <c r="D100" i="90"/>
  <c r="E80" i="30"/>
  <c r="G14" i="73"/>
  <c r="F70" i="38"/>
  <c r="H79" i="47"/>
  <c r="I74" i="71"/>
  <c r="D104" i="29"/>
  <c r="G95" i="77"/>
  <c r="D22" i="48"/>
  <c r="E10" i="39"/>
  <c r="M70" i="67"/>
  <c r="H18" i="34"/>
  <c r="N47" i="47"/>
  <c r="J58" i="87"/>
  <c r="L31" i="80"/>
  <c r="K11" i="91"/>
  <c r="J80" i="83"/>
  <c r="K85" i="40"/>
  <c r="K21" i="82"/>
  <c r="D43" i="52"/>
  <c r="M40" i="32"/>
  <c r="K51" i="30"/>
  <c r="N57" i="61"/>
  <c r="M48" i="69"/>
  <c r="E86" i="19"/>
  <c r="J6" i="63"/>
  <c r="H33" i="93"/>
  <c r="O94" i="26"/>
  <c r="F73" i="78"/>
  <c r="K18" i="80"/>
  <c r="O106" i="40"/>
  <c r="H68" i="47"/>
  <c r="I83" i="84"/>
  <c r="H92" i="45"/>
  <c r="I34" i="46"/>
  <c r="E54" i="59"/>
  <c r="M85" i="33"/>
  <c r="M10" i="69"/>
  <c r="N43" i="33"/>
  <c r="N27" i="46"/>
  <c r="D46" i="89"/>
  <c r="H12" i="71"/>
  <c r="F89" i="78"/>
  <c r="G49" i="62"/>
  <c r="K33" i="46"/>
  <c r="K27" i="53"/>
  <c r="O94" i="38"/>
  <c r="D33" i="89"/>
  <c r="J12" i="38"/>
  <c r="I18" i="77"/>
  <c r="O10" i="75"/>
  <c r="K65" i="25"/>
  <c r="O91" i="26"/>
  <c r="H41" i="87"/>
  <c r="H32" i="54"/>
  <c r="J50" i="47"/>
  <c r="D53" i="68"/>
  <c r="K74" i="90"/>
  <c r="E74" i="84"/>
  <c r="O10" i="49"/>
  <c r="D17" i="80"/>
  <c r="G32" i="40"/>
  <c r="H79" i="65"/>
  <c r="D26" i="73"/>
  <c r="L73" i="67"/>
  <c r="E56" i="39"/>
  <c r="E39" i="87"/>
  <c r="K64" i="41"/>
  <c r="H9" i="49"/>
  <c r="H14" i="29"/>
  <c r="J56" i="90"/>
  <c r="G79" i="93"/>
  <c r="I31" i="76"/>
  <c r="L48" i="53"/>
  <c r="M46" i="51"/>
  <c r="G91" i="92"/>
  <c r="F46" i="29"/>
  <c r="J23" i="32"/>
  <c r="J73" i="71"/>
  <c r="I51" i="92"/>
  <c r="N48" i="83"/>
  <c r="G9" i="84"/>
  <c r="D26" i="75"/>
  <c r="F51" i="34"/>
  <c r="L20" i="77"/>
  <c r="H73" i="86"/>
  <c r="L41" i="49"/>
  <c r="J40" i="60"/>
  <c r="N18" i="73"/>
  <c r="F11" i="64"/>
  <c r="H42" i="47"/>
  <c r="H7" i="71"/>
  <c r="D28" i="76"/>
  <c r="J20" i="75"/>
  <c r="G77" i="35"/>
  <c r="H65" i="32"/>
  <c r="M79" i="25"/>
  <c r="H73" i="34"/>
  <c r="F41" i="19"/>
  <c r="G79" i="85"/>
  <c r="I28" i="51"/>
  <c r="D53" i="50"/>
  <c r="L23" i="26"/>
  <c r="L80" i="81"/>
  <c r="J8" i="36"/>
  <c r="M94" i="56"/>
  <c r="G28" i="81"/>
  <c r="K80" i="73"/>
  <c r="D6" i="61"/>
  <c r="O104" i="56"/>
  <c r="D94" i="32"/>
  <c r="D100" i="70"/>
  <c r="K25" i="74"/>
  <c r="I9" i="63"/>
  <c r="O36" i="69"/>
  <c r="N21" i="55"/>
  <c r="I25" i="81"/>
  <c r="O19" i="89"/>
  <c r="D4" i="51"/>
  <c r="G97" i="71"/>
  <c r="J9" i="75"/>
  <c r="O97" i="81"/>
  <c r="D46" i="38"/>
  <c r="G5" i="81"/>
  <c r="I71" i="65"/>
  <c r="L36" i="46"/>
  <c r="E19" i="49"/>
  <c r="K6"/>
  <c r="F38" i="26"/>
  <c r="J19" i="32"/>
  <c r="N35" i="47"/>
  <c r="D97" i="79"/>
  <c r="M37" i="78"/>
  <c r="H61" i="39"/>
  <c r="H106" i="78"/>
  <c r="J21" i="67"/>
  <c r="I11" i="73"/>
  <c r="O61" i="58"/>
  <c r="E62" i="39"/>
  <c r="O51" i="61"/>
  <c r="O48" i="60"/>
  <c r="N74" i="33"/>
  <c r="E61" i="45"/>
  <c r="H18" i="81"/>
  <c r="G24" i="43"/>
  <c r="J64" i="19"/>
  <c r="H83" i="68"/>
  <c r="L106" i="27"/>
  <c r="M15" i="19"/>
  <c r="I51" i="68"/>
  <c r="I55" i="49"/>
  <c r="H58" i="35"/>
  <c r="G27" i="94"/>
  <c r="O41" i="34"/>
  <c r="N9" i="60"/>
  <c r="N22" i="81"/>
  <c r="M45" i="82"/>
  <c r="G95" i="76"/>
  <c r="G51" i="83"/>
  <c r="I37" i="40"/>
  <c r="I43" i="92"/>
  <c r="K40" i="30"/>
  <c r="H58" i="55"/>
  <c r="O76" i="33"/>
  <c r="H45" i="30"/>
  <c r="M94" i="43"/>
  <c r="H19" i="59"/>
  <c r="D104" i="48"/>
  <c r="H76" i="32"/>
  <c r="M7" i="43"/>
  <c r="H73" i="90"/>
  <c r="E98" i="91"/>
  <c r="L34" i="90"/>
  <c r="K29" i="47"/>
  <c r="J76" i="92"/>
  <c r="L22"/>
  <c r="H24" i="25"/>
  <c r="L53" i="65"/>
  <c r="O57" i="35"/>
  <c r="I48" i="63"/>
  <c r="N37" i="26"/>
  <c r="L20" i="94"/>
  <c r="E58" i="51"/>
  <c r="F47" i="63"/>
  <c r="E28" i="53"/>
  <c r="L28" i="84"/>
  <c r="J5" i="63"/>
  <c r="D92" i="93"/>
  <c r="G54" i="92"/>
  <c r="K38" i="73"/>
  <c r="L91" i="90"/>
  <c r="E85" i="70"/>
  <c r="E16" i="33"/>
  <c r="O71" i="71"/>
  <c r="F26" i="74"/>
  <c r="F68" i="66"/>
  <c r="I48" i="65"/>
  <c r="L48" i="45"/>
  <c r="L61" i="61"/>
  <c r="F24" i="42"/>
  <c r="M85" i="59"/>
  <c r="I33" i="69"/>
  <c r="G37" i="45"/>
  <c r="E29" i="33"/>
  <c r="L31" i="57"/>
  <c r="J49" i="50"/>
  <c r="O42" i="66"/>
  <c r="M73" i="55"/>
  <c r="G70" i="90"/>
  <c r="M24" i="83"/>
  <c r="N94" i="34"/>
  <c r="K53" i="74"/>
  <c r="N41" i="71"/>
  <c r="M22" i="90"/>
  <c r="CI35" i="3"/>
  <c r="O39" i="46"/>
  <c r="G98" i="48"/>
  <c r="I73" i="29"/>
  <c r="I49" i="64"/>
  <c r="O62" i="87"/>
  <c r="F24" i="91"/>
  <c r="M52" i="35"/>
  <c r="G73" i="50"/>
  <c r="H89" i="41"/>
  <c r="F26" i="75"/>
  <c r="G65" i="50"/>
  <c r="D61" i="79"/>
  <c r="L77" i="60"/>
  <c r="D55" i="55"/>
  <c r="F52" i="90"/>
  <c r="L97" i="94"/>
  <c r="H97" i="82"/>
  <c r="G73" i="73"/>
  <c r="F21" i="61"/>
  <c r="L53" i="55"/>
  <c r="J95"/>
  <c r="N53" i="26"/>
  <c r="I7" i="45"/>
  <c r="M24" i="39"/>
  <c r="N80" i="87"/>
  <c r="D104" i="57"/>
  <c r="I55" i="52"/>
  <c r="I106" i="50"/>
  <c r="F51" i="45"/>
  <c r="D34" i="78"/>
  <c r="D26" i="39"/>
  <c r="M40" i="53"/>
  <c r="O48" i="63"/>
  <c r="L27" i="53"/>
  <c r="M26" i="67"/>
  <c r="D46" i="86"/>
  <c r="G9" i="93"/>
  <c r="M92" i="32"/>
  <c r="L13" i="86"/>
  <c r="O83" i="69"/>
  <c r="G17" i="54"/>
  <c r="H98" i="67"/>
  <c r="H55" i="46"/>
  <c r="J58" i="80"/>
  <c r="G17" i="40"/>
  <c r="O71" i="60"/>
  <c r="M26" i="34"/>
  <c r="O31" i="60"/>
  <c r="N103" i="55"/>
  <c r="O91" i="58"/>
  <c r="O25" i="27"/>
  <c r="N25" i="47"/>
  <c r="F5" i="85"/>
  <c r="J80" i="49"/>
  <c r="E53" i="50"/>
  <c r="G50" i="61"/>
  <c r="I18" i="89"/>
  <c r="G67" i="34"/>
  <c r="O50" i="36"/>
  <c r="N64" i="55"/>
  <c r="L55" i="87"/>
  <c r="G36" i="50"/>
  <c r="F89" i="94"/>
  <c r="J95" i="30"/>
  <c r="E17" i="77"/>
  <c r="D91" i="78"/>
  <c r="M44" i="64"/>
  <c r="H18" i="41"/>
  <c r="J45" i="57"/>
  <c r="D76" i="36"/>
  <c r="O107" i="63"/>
  <c r="G67" i="80"/>
  <c r="F16" i="40"/>
  <c r="M41" i="49"/>
  <c r="N34" i="38"/>
  <c r="K29" i="25"/>
  <c r="L85" i="47"/>
  <c r="F88" i="82"/>
  <c r="J30" i="89"/>
  <c r="M22" i="36"/>
  <c r="M43" i="73"/>
  <c r="K70" i="75"/>
  <c r="K86" i="83"/>
  <c r="K54" i="71"/>
  <c r="O35" i="80"/>
  <c r="K51" i="69"/>
  <c r="H95" i="54"/>
  <c r="F76" i="61"/>
  <c r="O16" i="74"/>
  <c r="D42" i="63"/>
  <c r="D26" i="42"/>
  <c r="M61" i="19"/>
  <c r="G79" i="29"/>
  <c r="D107" i="38"/>
  <c r="J54" i="89"/>
  <c r="D35" i="87"/>
  <c r="K52" i="41"/>
  <c r="L61" i="66"/>
  <c r="F48" i="34"/>
  <c r="E4" i="73"/>
  <c r="L34" i="29"/>
  <c r="D62" i="49"/>
  <c r="O18" i="55"/>
  <c r="G22" i="57"/>
  <c r="J48" i="66"/>
  <c r="I82" i="74"/>
  <c r="G31" i="52"/>
  <c r="D11" i="57"/>
  <c r="M39" i="68"/>
  <c r="G56" i="55"/>
  <c r="J31" i="57"/>
  <c r="J16" i="93"/>
  <c r="J32" i="61"/>
  <c r="M82" i="94"/>
  <c r="O103" i="43"/>
  <c r="O48" i="77"/>
  <c r="I54" i="75"/>
  <c r="J12" i="19"/>
  <c r="O104" i="25"/>
  <c r="I19" i="44"/>
  <c r="F82" i="50"/>
  <c r="E10" i="56"/>
  <c r="M59" i="76"/>
  <c r="J79" i="83"/>
  <c r="D44" i="54"/>
  <c r="M51" i="82"/>
  <c r="M77" i="40"/>
  <c r="M100" i="59"/>
  <c r="K22" i="40"/>
  <c r="L40" i="62"/>
  <c r="F95" i="53"/>
  <c r="L51" i="68"/>
  <c r="F71" i="59"/>
  <c r="M18" i="51"/>
  <c r="G59" i="74"/>
  <c r="H9" i="43"/>
  <c r="F22" i="60"/>
  <c r="J5" i="53"/>
  <c r="I34" i="26"/>
  <c r="G64" i="30"/>
  <c r="H52" i="47"/>
  <c r="K8" i="67"/>
  <c r="L12" i="75"/>
  <c r="I77" i="90"/>
  <c r="I71" i="64"/>
  <c r="L29" i="29"/>
  <c r="F77" i="35"/>
  <c r="D77" i="46"/>
  <c r="L103" i="32"/>
  <c r="M10" i="61"/>
  <c r="L65" i="89"/>
  <c r="N49" i="53"/>
  <c r="M54" i="56"/>
  <c r="J10" i="46"/>
  <c r="E15" i="66"/>
  <c r="K30" i="63"/>
  <c r="M86" i="64"/>
  <c r="E104" i="55"/>
  <c r="N29" i="77"/>
  <c r="G79" i="50"/>
  <c r="E73" i="74"/>
  <c r="L97" i="25"/>
  <c r="J33" i="60"/>
  <c r="D80" i="70"/>
  <c r="H39" i="74"/>
  <c r="F8" i="58"/>
  <c r="J18" i="59"/>
  <c r="H4" i="92"/>
  <c r="L76" i="56"/>
  <c r="O41" i="40"/>
  <c r="E22" i="69"/>
  <c r="N4" i="25"/>
  <c r="H82" i="68"/>
  <c r="K104" i="30"/>
  <c r="G26" i="42"/>
  <c r="E24" i="78"/>
  <c r="L55" i="64"/>
  <c r="H92" i="70"/>
  <c r="O103" i="86"/>
  <c r="K82" i="83"/>
  <c r="D53" i="91"/>
  <c r="M22" i="46"/>
  <c r="G57" i="39"/>
  <c r="H101" i="81"/>
  <c r="O40" i="62"/>
  <c r="G71" i="69"/>
  <c r="M51" i="75"/>
  <c r="H8" i="46"/>
  <c r="I16" i="58"/>
  <c r="I56" i="80"/>
  <c r="G18" i="45"/>
  <c r="L44" i="33"/>
  <c r="G20" i="77"/>
  <c r="O12" i="71"/>
  <c r="O15" i="30"/>
  <c r="O41" i="69"/>
  <c r="D32" i="33"/>
  <c r="K4" i="74"/>
  <c r="I17" i="54"/>
  <c r="O94" i="36"/>
  <c r="G47" i="71"/>
  <c r="H70" i="65"/>
  <c r="I33" i="38"/>
  <c r="G35" i="76"/>
  <c r="I36" i="64"/>
  <c r="H9" i="53"/>
  <c r="D14" i="60"/>
  <c r="I67" i="82"/>
  <c r="N43" i="48"/>
  <c r="O21" i="71"/>
  <c r="N42" i="84"/>
  <c r="I14" i="46"/>
  <c r="L71" i="77"/>
  <c r="E51" i="38"/>
  <c r="M13" i="66"/>
  <c r="H38" i="49"/>
  <c r="F82" i="58"/>
  <c r="E12" i="75"/>
  <c r="J6" i="56"/>
  <c r="J48" i="70"/>
  <c r="J5" i="82"/>
  <c r="J85" i="44"/>
  <c r="H88" i="26"/>
  <c r="N42" i="38"/>
  <c r="E6" i="48"/>
  <c r="D31" i="49"/>
  <c r="H95" i="46"/>
  <c r="F74" i="40"/>
  <c r="I94" i="87"/>
  <c r="L8" i="80"/>
  <c r="F28" i="86"/>
  <c r="L52" i="94"/>
  <c r="D4" i="85"/>
  <c r="J32" i="80"/>
  <c r="K11" i="70"/>
  <c r="H34" i="59"/>
  <c r="M82" i="47"/>
  <c r="I38" i="89"/>
  <c r="O5" i="53"/>
  <c r="J24" i="78"/>
  <c r="H16" i="47"/>
  <c r="J80" i="63"/>
  <c r="D17" i="72"/>
  <c r="I40" i="44"/>
  <c r="O45" i="38"/>
  <c r="D85" i="35"/>
  <c r="I56" i="27"/>
  <c r="N7" i="67"/>
  <c r="M24" i="86"/>
  <c r="I50" i="60"/>
  <c r="H19" i="27"/>
  <c r="I8" i="29"/>
  <c r="L56" i="71"/>
  <c r="H16" i="40"/>
  <c r="D36" i="46"/>
  <c r="I36" i="27"/>
  <c r="I85" i="29"/>
  <c r="M10" i="59"/>
  <c r="F49" i="87"/>
  <c r="M11" i="57"/>
  <c r="N37" i="92"/>
  <c r="G40" i="53"/>
  <c r="H54" i="77"/>
  <c r="L88" i="26"/>
  <c r="G77" i="30"/>
  <c r="H37"/>
  <c r="K31" i="74"/>
  <c r="F107" i="84"/>
  <c r="I103" i="86"/>
  <c r="F50" i="73"/>
  <c r="M103" i="62"/>
  <c r="L79" i="51"/>
  <c r="D10" i="64"/>
  <c r="E73" i="41"/>
  <c r="L74" i="59"/>
  <c r="F39" i="47"/>
  <c r="I27" i="62"/>
  <c r="K61" i="65"/>
  <c r="F38" i="85"/>
  <c r="E70" i="36"/>
  <c r="E86" i="63"/>
  <c r="G29" i="34"/>
  <c r="L51" i="59"/>
  <c r="I30" i="55"/>
  <c r="D103" i="72"/>
  <c r="H24" i="59"/>
  <c r="G7" i="46"/>
  <c r="F70" i="74"/>
  <c r="H34" i="75"/>
  <c r="O88" i="64"/>
  <c r="F52" i="86"/>
  <c r="L36" i="19"/>
  <c r="H57" i="52"/>
  <c r="G92" i="74"/>
  <c r="M40" i="44"/>
  <c r="G52" i="64"/>
  <c r="D14" i="85"/>
  <c r="G95" i="91"/>
  <c r="D53" i="54"/>
  <c r="H97" i="44"/>
  <c r="G13" i="41"/>
  <c r="G29" i="78"/>
  <c r="N68" i="44"/>
  <c r="N6" i="74"/>
  <c r="J17" i="39"/>
  <c r="H22" i="29"/>
  <c r="E18" i="49"/>
  <c r="M107" i="82"/>
  <c r="E51" i="79"/>
  <c r="O73" i="60"/>
  <c r="O9" i="35"/>
  <c r="O98" i="71"/>
  <c r="F32" i="32"/>
  <c r="K39" i="82"/>
  <c r="M92" i="86"/>
  <c r="I17" i="43"/>
  <c r="I92" i="33"/>
  <c r="F106" i="39"/>
  <c r="K67" i="45"/>
  <c r="M34" i="77"/>
  <c r="K46" i="81"/>
  <c r="K94" i="40"/>
  <c r="I104" i="36"/>
  <c r="H79" i="29"/>
  <c r="K15" i="80"/>
  <c r="M77" i="49"/>
  <c r="L67" i="73"/>
  <c r="G97" i="91"/>
  <c r="K51" i="49"/>
  <c r="N76" i="51"/>
  <c r="D57" i="45"/>
  <c r="E62" i="50"/>
  <c r="I4" i="56"/>
  <c r="G15" i="40"/>
  <c r="F52" i="75"/>
  <c r="F51" i="72"/>
  <c r="L38" i="40"/>
  <c r="F61" i="52"/>
  <c r="H100" i="48"/>
  <c r="J15" i="67"/>
  <c r="H43" i="41"/>
  <c r="G58" i="38"/>
  <c r="J80" i="29"/>
  <c r="J58" i="89"/>
  <c r="H12" i="87"/>
  <c r="O89" i="84"/>
  <c r="N32" i="65"/>
  <c r="M80" i="43"/>
  <c r="F74" i="62"/>
  <c r="G32" i="94"/>
  <c r="M56" i="44"/>
  <c r="G106" i="55"/>
  <c r="N18" i="89"/>
  <c r="D23" i="62"/>
  <c r="H104" i="29"/>
  <c r="O58" i="35"/>
  <c r="F9" i="47"/>
  <c r="N103" i="39"/>
  <c r="O61" i="77"/>
  <c r="E40" i="30"/>
  <c r="I31" i="33"/>
  <c r="L43" i="75"/>
  <c r="D53" i="47"/>
  <c r="E21" i="53"/>
  <c r="O12" i="68"/>
  <c r="O4" i="65"/>
  <c r="L22" i="56"/>
  <c r="O31" i="51"/>
  <c r="G32" i="73"/>
  <c r="M40" i="94"/>
  <c r="K31" i="43"/>
  <c r="F31" i="67"/>
  <c r="I34" i="78"/>
  <c r="E28" i="93"/>
  <c r="H54" i="42"/>
  <c r="F21" i="71"/>
  <c r="N94" i="65"/>
  <c r="L89" i="63"/>
  <c r="L83" i="62"/>
  <c r="I58" i="70"/>
  <c r="I52" i="43"/>
  <c r="D103" i="39"/>
  <c r="K71" i="89"/>
  <c r="M26" i="41"/>
  <c r="D98" i="80"/>
  <c r="O91"/>
  <c r="O100" i="86"/>
  <c r="H77" i="60"/>
  <c r="J53" i="71"/>
  <c r="G18" i="57"/>
  <c r="O82" i="47"/>
  <c r="G31" i="58"/>
  <c r="G64" i="92"/>
  <c r="I23" i="29"/>
  <c r="F21" i="64"/>
  <c r="F100" i="77"/>
  <c r="I34" i="74"/>
  <c r="I34" i="36"/>
  <c r="G48" i="63"/>
  <c r="G49" i="87"/>
  <c r="M106" i="46"/>
  <c r="E103" i="51"/>
  <c r="H10" i="70"/>
  <c r="J51" i="38"/>
  <c r="M39" i="90"/>
  <c r="N23" i="86"/>
  <c r="N68" i="35"/>
  <c r="I88" i="25"/>
  <c r="K83" i="35"/>
  <c r="F4" i="89"/>
  <c r="O62" i="71"/>
  <c r="J54" i="67"/>
  <c r="N100" i="94"/>
  <c r="E5" i="80"/>
  <c r="F8" i="89"/>
  <c r="H16" i="83"/>
  <c r="G6" i="44"/>
  <c r="D32" i="68"/>
  <c r="G22" i="85"/>
  <c r="J35" i="50"/>
  <c r="F39" i="46"/>
  <c r="N67"/>
  <c r="E55" i="82"/>
  <c r="J80" i="48"/>
  <c r="O50" i="66"/>
  <c r="D21" i="73"/>
  <c r="L104" i="19"/>
  <c r="E58" i="70"/>
  <c r="K17" i="29"/>
  <c r="G107" i="52"/>
  <c r="F82" i="92"/>
  <c r="I13" i="58"/>
  <c r="D30" i="36"/>
  <c r="K11" i="58"/>
  <c r="G89" i="47"/>
  <c r="I64" i="92"/>
  <c r="H20" i="48"/>
  <c r="F4" i="68"/>
  <c r="L70" i="91"/>
  <c r="J67" i="29"/>
  <c r="I14" i="69"/>
  <c r="E45" i="52"/>
  <c r="G7" i="79"/>
  <c r="J104" i="43"/>
  <c r="K23" i="53"/>
  <c r="E45" i="55"/>
  <c r="E62" i="53"/>
  <c r="O4" i="48"/>
  <c r="E53" i="30"/>
  <c r="H97" i="74"/>
  <c r="F23" i="92"/>
  <c r="M33" i="56"/>
  <c r="M23" i="27"/>
  <c r="G74" i="57"/>
  <c r="D97" i="83"/>
  <c r="D101" i="80"/>
  <c r="N46" i="59"/>
  <c r="L38" i="65"/>
  <c r="I48" i="39"/>
  <c r="E73" i="52"/>
  <c r="M98" i="49"/>
  <c r="J53" i="32"/>
  <c r="F37" i="67"/>
  <c r="H73" i="62"/>
  <c r="M23" i="66"/>
  <c r="I22" i="42"/>
  <c r="D4" i="79"/>
  <c r="N85" i="70"/>
  <c r="D56" i="83"/>
  <c r="I44" i="43"/>
  <c r="D6" i="84"/>
  <c r="H7" i="33"/>
  <c r="E57" i="66"/>
  <c r="G22" i="46"/>
  <c r="J52" i="36"/>
  <c r="F22" i="51"/>
  <c r="M41" i="47"/>
  <c r="N64" i="65"/>
  <c r="N68" i="60"/>
  <c r="J18" i="62"/>
  <c r="G89" i="48"/>
  <c r="L48" i="29"/>
  <c r="O107" i="55"/>
  <c r="K12" i="48"/>
  <c r="O62" i="82"/>
  <c r="L13" i="84"/>
  <c r="D83" i="74"/>
  <c r="H107"/>
  <c r="L18" i="93"/>
  <c r="J48" i="46"/>
  <c r="H74" i="33"/>
  <c r="E17" i="43"/>
  <c r="E34" i="54"/>
  <c r="N43" i="71"/>
  <c r="G62" i="35"/>
  <c r="E67" i="69"/>
  <c r="M82" i="83"/>
  <c r="E14" i="45"/>
  <c r="I106" i="67"/>
  <c r="F8" i="75"/>
  <c r="G62" i="65"/>
  <c r="E94" i="34"/>
  <c r="N51" i="66"/>
  <c r="E91" i="69"/>
  <c r="D83" i="38"/>
  <c r="L92" i="32"/>
  <c r="F34" i="61"/>
  <c r="K97" i="67"/>
  <c r="H36" i="92"/>
  <c r="H67" i="73"/>
  <c r="L20" i="87"/>
  <c r="H62" i="72"/>
  <c r="K79" i="83"/>
  <c r="O14" i="41"/>
  <c r="M44" i="43"/>
  <c r="N53" i="38"/>
  <c r="H85" i="60"/>
  <c r="O21" i="47"/>
  <c r="D27" i="58"/>
  <c r="F106" i="50"/>
  <c r="F15" i="57"/>
  <c r="D68" i="49"/>
  <c r="E95" i="87"/>
  <c r="CK77" i="3"/>
  <c r="D86" i="58"/>
  <c r="N55" i="69"/>
  <c r="E11" i="89"/>
  <c r="H106" i="85"/>
  <c r="F103" i="67"/>
  <c r="O34" i="36"/>
  <c r="H45" i="91"/>
  <c r="O18" i="73"/>
  <c r="O58" i="33"/>
  <c r="G85" i="58"/>
  <c r="E38" i="25"/>
  <c r="D43" i="44"/>
  <c r="D40" i="82"/>
  <c r="E103" i="55"/>
  <c r="J88" i="58"/>
  <c r="J48" i="83"/>
  <c r="E36" i="91"/>
  <c r="E61" i="70"/>
  <c r="K4" i="55"/>
  <c r="D31" i="81"/>
  <c r="G83" i="38"/>
  <c r="H10" i="50"/>
  <c r="H86" i="48"/>
  <c r="J25" i="74"/>
  <c r="M29" i="46"/>
  <c r="O50" i="60"/>
  <c r="J18" i="43"/>
  <c r="K71" i="90"/>
  <c r="I47" i="50"/>
  <c r="H9" i="39"/>
  <c r="K29" i="80"/>
  <c r="H36" i="44"/>
  <c r="E37" i="73"/>
  <c r="I106" i="84"/>
  <c r="H86" i="45"/>
  <c r="D24" i="40"/>
  <c r="J53" i="94"/>
  <c r="E14" i="63"/>
  <c r="N24" i="60"/>
  <c r="J33" i="67"/>
  <c r="J34" i="19"/>
  <c r="H11" i="71"/>
  <c r="F24" i="53"/>
  <c r="N86" i="66"/>
  <c r="D59" i="77"/>
  <c r="J89" i="35"/>
  <c r="F23" i="82"/>
  <c r="E32" i="78"/>
  <c r="M47" i="46"/>
  <c r="E88" i="68"/>
  <c r="G30" i="43"/>
  <c r="K80" i="48"/>
  <c r="F38" i="34"/>
  <c r="D35" i="67"/>
  <c r="E24" i="72"/>
  <c r="D18" i="94"/>
  <c r="O36" i="67"/>
  <c r="M36" i="56"/>
  <c r="F65" i="51"/>
  <c r="F21" i="56"/>
  <c r="H27" i="68"/>
  <c r="H22" i="71"/>
  <c r="E19" i="54"/>
  <c r="E35" i="30"/>
  <c r="L107" i="77"/>
  <c r="I106" i="56"/>
  <c r="L36" i="35"/>
  <c r="O35" i="94"/>
  <c r="O58" i="64"/>
  <c r="H7" i="83"/>
  <c r="G62" i="69"/>
  <c r="J21" i="30"/>
  <c r="H104"/>
  <c r="D35"/>
  <c r="G31" i="62"/>
  <c r="E26" i="79"/>
  <c r="O33" i="41"/>
  <c r="D48" i="69"/>
  <c r="F41" i="91"/>
  <c r="E14" i="34"/>
  <c r="H27" i="89"/>
  <c r="D79" i="56"/>
  <c r="N77" i="38"/>
  <c r="D35" i="66"/>
  <c r="I48" i="40"/>
  <c r="J27" i="90"/>
  <c r="H62" i="82"/>
  <c r="L18" i="58"/>
  <c r="I30" i="26"/>
  <c r="G52" i="66"/>
  <c r="G49" i="45"/>
  <c r="G44" i="55"/>
  <c r="E88" i="29"/>
  <c r="J91" i="27"/>
  <c r="K30" i="93"/>
  <c r="J38" i="25"/>
  <c r="F91" i="43"/>
  <c r="H86" i="41"/>
  <c r="N14" i="66"/>
  <c r="K11" i="19"/>
  <c r="K97" i="94"/>
  <c r="L54" i="29"/>
  <c r="F21" i="35"/>
  <c r="H37" i="82"/>
  <c r="J61" i="29"/>
  <c r="M39" i="94"/>
  <c r="H82" i="89"/>
  <c r="I17" i="65"/>
  <c r="H94" i="63"/>
  <c r="O95" i="87"/>
  <c r="N101" i="75"/>
  <c r="N23" i="48"/>
  <c r="D24" i="55"/>
  <c r="E39" i="19"/>
  <c r="F9" i="72"/>
  <c r="F45" i="55"/>
  <c r="K18" i="61"/>
  <c r="E67" i="39"/>
  <c r="F73" i="29"/>
  <c r="I23" i="43"/>
  <c r="H107" i="38"/>
  <c r="M59" i="78"/>
  <c r="F100" i="36"/>
  <c r="H21" i="61"/>
  <c r="E68" i="90"/>
  <c r="J15" i="50"/>
  <c r="J52" i="62"/>
  <c r="I14" i="64"/>
  <c r="J104" i="77"/>
  <c r="E9" i="40"/>
  <c r="G64" i="91"/>
  <c r="J13" i="66"/>
  <c r="M85" i="44"/>
  <c r="N48" i="68"/>
  <c r="N7" i="36"/>
  <c r="N25" i="72"/>
  <c r="E103" i="74"/>
  <c r="G27" i="34"/>
  <c r="H53" i="64"/>
  <c r="K59" i="45"/>
  <c r="I20" i="67"/>
  <c r="F98" i="89"/>
  <c r="N23" i="60"/>
  <c r="D38" i="43"/>
  <c r="D77" i="87"/>
  <c r="G76" i="50"/>
  <c r="L91" i="61"/>
  <c r="H57" i="78"/>
  <c r="O24" i="30"/>
  <c r="N42" i="89"/>
  <c r="O77" i="71"/>
  <c r="F8" i="49"/>
  <c r="N29" i="38"/>
  <c r="F92" i="55"/>
  <c r="I107" i="40"/>
  <c r="D51" i="36"/>
  <c r="I100" i="93"/>
  <c r="O39" i="47"/>
  <c r="F11" i="69"/>
  <c r="E74" i="56"/>
  <c r="N51" i="38"/>
  <c r="E14" i="71"/>
  <c r="K50"/>
  <c r="O18" i="25"/>
  <c r="N51" i="68"/>
  <c r="O64" i="94"/>
  <c r="F11" i="26"/>
  <c r="K13" i="77"/>
  <c r="N97" i="89"/>
  <c r="K47" i="30"/>
  <c r="H104" i="46"/>
  <c r="K94" i="59"/>
  <c r="J80" i="34"/>
  <c r="E73" i="57"/>
  <c r="D28" i="71"/>
  <c r="I8" i="89"/>
  <c r="J55" i="73"/>
  <c r="J50" i="84"/>
  <c r="I26" i="62"/>
  <c r="E94" i="25"/>
  <c r="L74" i="65"/>
  <c r="G49" i="51"/>
  <c r="L33" i="84"/>
  <c r="N7" i="53"/>
  <c r="K50" i="83"/>
  <c r="F15" i="49"/>
  <c r="H74" i="87"/>
  <c r="E71" i="91"/>
  <c r="L56" i="55"/>
  <c r="M10" i="36"/>
  <c r="H25" i="84"/>
  <c r="K29" i="41"/>
  <c r="I5" i="92"/>
  <c r="O45" i="93"/>
  <c r="J70" i="32"/>
  <c r="L34" i="46"/>
  <c r="G85" i="32"/>
  <c r="J98" i="50"/>
  <c r="K83" i="90"/>
  <c r="K28" i="93"/>
  <c r="O56" i="48"/>
  <c r="I33" i="78"/>
  <c r="J11" i="76"/>
  <c r="M91" i="39"/>
  <c r="J101" i="59"/>
  <c r="N94" i="73"/>
  <c r="F41" i="75"/>
  <c r="D76" i="91"/>
  <c r="E38" i="76"/>
  <c r="O31" i="90"/>
  <c r="N46" i="27"/>
  <c r="I44" i="30"/>
  <c r="M107" i="69"/>
  <c r="G67" i="94"/>
  <c r="M22" i="59"/>
  <c r="O32" i="43"/>
  <c r="F14" i="87"/>
  <c r="J40" i="93"/>
  <c r="N86" i="91"/>
  <c r="O28" i="75"/>
  <c r="M13" i="82"/>
  <c r="L57" i="32"/>
  <c r="G44" i="58"/>
  <c r="D104" i="76"/>
  <c r="M40" i="92"/>
  <c r="M82" i="33"/>
  <c r="L31" i="48"/>
  <c r="D29" i="49"/>
  <c r="L17" i="64"/>
  <c r="J107" i="92"/>
  <c r="O76" i="51"/>
  <c r="D40" i="66"/>
  <c r="D70" i="93"/>
  <c r="E54" i="29"/>
  <c r="G106" i="77"/>
  <c r="J7" i="43"/>
  <c r="H107" i="36"/>
  <c r="I43" i="86"/>
  <c r="N80" i="39"/>
  <c r="J52" i="19"/>
  <c r="N49" i="74"/>
  <c r="D52" i="87"/>
  <c r="M45" i="77"/>
  <c r="H20" i="43"/>
  <c r="O67" i="47"/>
  <c r="N10" i="26"/>
  <c r="M53" i="58"/>
  <c r="N107" i="32"/>
  <c r="K65" i="34"/>
  <c r="F100" i="61"/>
  <c r="O98" i="32"/>
  <c r="N61" i="81"/>
  <c r="I33" i="45"/>
  <c r="F25" i="55"/>
  <c r="I52" i="91"/>
  <c r="M45" i="65"/>
  <c r="I50" i="74"/>
  <c r="M83" i="91"/>
  <c r="H57" i="86"/>
  <c r="O77" i="25"/>
  <c r="F64" i="89"/>
  <c r="G74" i="70"/>
  <c r="L97" i="64"/>
  <c r="I73" i="65"/>
  <c r="G68" i="58"/>
  <c r="L85" i="94"/>
  <c r="K83" i="70"/>
  <c r="E58" i="30"/>
  <c r="L100" i="72"/>
  <c r="N43" i="39"/>
  <c r="L21" i="64"/>
  <c r="I55" i="77"/>
  <c r="I8" i="52"/>
  <c r="D46"/>
  <c r="O16" i="35"/>
  <c r="K36" i="70"/>
  <c r="M55" i="83"/>
  <c r="L103" i="55"/>
  <c r="E95" i="83"/>
  <c r="O51" i="56"/>
  <c r="K32" i="80"/>
  <c r="D77" i="56"/>
  <c r="O104" i="40"/>
  <c r="N92" i="91"/>
  <c r="L104" i="57"/>
  <c r="I26" i="48"/>
  <c r="N25" i="61"/>
  <c r="G9" i="82"/>
  <c r="N28" i="59"/>
  <c r="K65" i="38"/>
  <c r="CG71" i="3"/>
  <c r="F70" i="45"/>
  <c r="O34" i="72"/>
  <c r="N22" i="59"/>
  <c r="J70" i="48"/>
  <c r="G18" i="43"/>
  <c r="I28" i="48"/>
  <c r="J51" i="75"/>
  <c r="D11" i="39"/>
  <c r="N47" i="30"/>
  <c r="K49" i="33"/>
  <c r="K43" i="44"/>
  <c r="G13" i="61"/>
  <c r="L103" i="36"/>
  <c r="M40"/>
  <c r="H31" i="54"/>
  <c r="F91" i="68"/>
  <c r="E31" i="45"/>
  <c r="J44" i="46"/>
  <c r="N77" i="69"/>
  <c r="I41" i="27"/>
  <c r="J23" i="78"/>
  <c r="L51" i="67"/>
  <c r="E29" i="48"/>
  <c r="J94" i="90"/>
  <c r="I89" i="38"/>
  <c r="H59" i="89"/>
  <c r="H56" i="55"/>
  <c r="L50" i="19"/>
  <c r="J106" i="38"/>
  <c r="G70" i="49"/>
  <c r="G61" i="83"/>
  <c r="H14" i="42"/>
  <c r="L53" i="63"/>
  <c r="F23" i="36"/>
  <c r="K92" i="34"/>
  <c r="E91" i="68"/>
  <c r="D30" i="19"/>
  <c r="H88" i="32"/>
  <c r="H36" i="73"/>
  <c r="L13" i="76"/>
  <c r="M8" i="57"/>
  <c r="D98" i="73"/>
  <c r="J33" i="74"/>
  <c r="F95" i="64"/>
  <c r="K71" i="86"/>
  <c r="I67" i="54"/>
  <c r="E44" i="36"/>
  <c r="H15" i="51"/>
  <c r="K56" i="46"/>
  <c r="E68" i="73"/>
  <c r="H103" i="69"/>
  <c r="F70" i="76"/>
  <c r="D106" i="91"/>
  <c r="D107" i="36"/>
  <c r="G11" i="86"/>
  <c r="F39" i="63"/>
  <c r="O24" i="89"/>
  <c r="I29" i="67"/>
  <c r="G9" i="71"/>
  <c r="D4" i="48"/>
  <c r="F79" i="87"/>
  <c r="O54" i="82"/>
  <c r="I16" i="84"/>
  <c r="N22" i="94"/>
  <c r="N7" i="43"/>
  <c r="H29" i="70"/>
  <c r="E35" i="44"/>
  <c r="F61" i="82"/>
  <c r="K52" i="74"/>
  <c r="O62" i="89"/>
  <c r="J42" i="35"/>
  <c r="D6" i="59"/>
  <c r="G5" i="79"/>
  <c r="G59" i="66"/>
  <c r="L8" i="90"/>
  <c r="G27" i="71"/>
  <c r="H76" i="61"/>
  <c r="G80" i="25"/>
  <c r="M11" i="27"/>
  <c r="M22" i="73"/>
  <c r="M19" i="57"/>
  <c r="N106" i="36"/>
  <c r="I45" i="77"/>
  <c r="K42" i="33"/>
  <c r="G65" i="82"/>
  <c r="J67" i="59"/>
  <c r="N45" i="69"/>
  <c r="J21" i="35"/>
  <c r="I88" i="81"/>
  <c r="L35" i="44"/>
  <c r="M54" i="58"/>
  <c r="G5" i="26"/>
  <c r="D21" i="83"/>
  <c r="H25" i="32"/>
  <c r="L85" i="71"/>
  <c r="H33" i="86"/>
  <c r="G100" i="32"/>
  <c r="M98" i="45"/>
  <c r="L17" i="59"/>
  <c r="O23" i="51"/>
  <c r="F106" i="54"/>
  <c r="L55" i="89"/>
  <c r="D103" i="67"/>
  <c r="L85" i="62"/>
  <c r="F17" i="69"/>
  <c r="M17" i="74"/>
  <c r="I39" i="38"/>
  <c r="J24" i="50"/>
  <c r="K88" i="19"/>
  <c r="H32" i="46"/>
  <c r="D25" i="40"/>
  <c r="E73" i="87"/>
  <c r="H4" i="43"/>
  <c r="E86" i="94"/>
  <c r="I23" i="36"/>
  <c r="O46" i="45"/>
  <c r="I80" i="33"/>
  <c r="G42" i="41"/>
  <c r="M49" i="47"/>
  <c r="N76" i="46"/>
  <c r="I38" i="53"/>
  <c r="F104" i="58"/>
  <c r="F17" i="36"/>
  <c r="K33" i="35"/>
  <c r="N21" i="81"/>
  <c r="O56" i="61"/>
  <c r="O39" i="73"/>
  <c r="O8" i="46"/>
  <c r="E68" i="80"/>
  <c r="D38" i="49"/>
  <c r="I77" i="41"/>
  <c r="L28"/>
  <c r="N77" i="64"/>
  <c r="K43" i="73"/>
  <c r="H82" i="91"/>
  <c r="O97" i="38"/>
  <c r="H24" i="73"/>
  <c r="N83" i="90"/>
  <c r="M26" i="73"/>
  <c r="N52" i="38"/>
  <c r="O56" i="71"/>
  <c r="L100" i="64"/>
  <c r="F6" i="81"/>
  <c r="L44" i="53"/>
  <c r="J47" i="32"/>
  <c r="G107" i="78"/>
  <c r="H36" i="36"/>
  <c r="N41" i="70"/>
  <c r="I74" i="35"/>
  <c r="K21" i="58"/>
  <c r="D65" i="63"/>
  <c r="H12" i="84"/>
  <c r="O52" i="65"/>
  <c r="CD45" i="3"/>
  <c r="H101" i="46"/>
  <c r="H104" i="64"/>
  <c r="G62" i="40"/>
  <c r="J52" i="81"/>
  <c r="I55" i="30"/>
  <c r="H94" i="76"/>
  <c r="I17" i="68"/>
  <c r="L59"/>
  <c r="E53" i="94"/>
  <c r="F83" i="36"/>
  <c r="G86" i="30"/>
  <c r="M36" i="57"/>
  <c r="F76" i="68"/>
  <c r="J44" i="48"/>
  <c r="M25" i="73"/>
  <c r="I10" i="45"/>
  <c r="M92" i="92"/>
  <c r="K64" i="61"/>
  <c r="E12" i="81"/>
  <c r="E16" i="50"/>
  <c r="E20" i="36"/>
  <c r="H79" i="72"/>
  <c r="M98" i="32"/>
  <c r="J44" i="55"/>
  <c r="E53" i="39"/>
  <c r="O36" i="60"/>
  <c r="E58" i="45"/>
  <c r="N97" i="59"/>
  <c r="G94" i="83"/>
  <c r="J107" i="71"/>
  <c r="E22" i="33"/>
  <c r="I103" i="44"/>
  <c r="E51" i="49"/>
  <c r="I41" i="34"/>
  <c r="D58" i="43"/>
  <c r="N50" i="40"/>
  <c r="J76" i="30"/>
  <c r="E11" i="57"/>
  <c r="H74" i="78"/>
  <c r="O80" i="65"/>
  <c r="D70" i="90"/>
  <c r="I73" i="63"/>
  <c r="I37" i="68"/>
  <c r="E103" i="19"/>
  <c r="D40" i="30"/>
  <c r="O29" i="45"/>
  <c r="G74" i="85"/>
  <c r="H27" i="44"/>
  <c r="G92" i="47"/>
  <c r="G25" i="75"/>
  <c r="I98" i="84"/>
  <c r="M17" i="92"/>
  <c r="N7" i="86"/>
  <c r="N70" i="27"/>
  <c r="D11" i="60"/>
  <c r="L43" i="82"/>
  <c r="K5" i="19"/>
  <c r="K67" i="33"/>
  <c r="I71" i="77"/>
  <c r="D82" i="40"/>
  <c r="I52" i="86"/>
  <c r="M54" i="39"/>
  <c r="J44" i="43"/>
  <c r="M16" i="54"/>
  <c r="F103" i="75"/>
  <c r="G7" i="67"/>
  <c r="H103" i="36"/>
  <c r="K15" i="81"/>
  <c r="H86" i="70"/>
  <c r="N26" i="83"/>
  <c r="F85" i="53"/>
  <c r="L65" i="60"/>
  <c r="D32" i="89"/>
  <c r="D101" i="71"/>
  <c r="I67" i="30"/>
  <c r="M65" i="54"/>
  <c r="J34" i="49"/>
  <c r="H64" i="48"/>
  <c r="D39" i="84"/>
  <c r="O54" i="83"/>
  <c r="K61" i="94"/>
  <c r="G38" i="38"/>
  <c r="O67" i="57"/>
  <c r="G98" i="34"/>
  <c r="N22" i="47"/>
  <c r="L68" i="90"/>
  <c r="H34" i="29"/>
  <c r="I83" i="38"/>
  <c r="F24" i="93"/>
  <c r="I21" i="36"/>
  <c r="G91" i="57"/>
  <c r="J62" i="73"/>
  <c r="M46" i="48"/>
  <c r="F62" i="58"/>
  <c r="D24" i="61"/>
  <c r="H74" i="67"/>
  <c r="M95" i="30"/>
  <c r="E74" i="72"/>
  <c r="J85" i="70"/>
  <c r="N76" i="30"/>
  <c r="K4" i="46"/>
  <c r="F70" i="51"/>
  <c r="N46" i="54"/>
  <c r="D57" i="50"/>
  <c r="E83" i="26"/>
  <c r="H27" i="52"/>
  <c r="H48" i="74"/>
  <c r="H23" i="29"/>
  <c r="J40" i="90"/>
  <c r="D74" i="43"/>
  <c r="L82" i="61"/>
  <c r="I44" i="53"/>
  <c r="L12" i="86"/>
  <c r="D52" i="84"/>
  <c r="O27" i="62"/>
  <c r="I51"/>
  <c r="L49" i="61"/>
  <c r="E101" i="63"/>
  <c r="N19" i="74"/>
  <c r="L43" i="44"/>
  <c r="O92" i="56"/>
  <c r="I36" i="92"/>
  <c r="O8" i="91"/>
  <c r="O88" i="67"/>
  <c r="L54" i="40"/>
  <c r="J7" i="93"/>
  <c r="L17" i="46"/>
  <c r="L49" i="73"/>
  <c r="K68" i="55"/>
  <c r="M54" i="71"/>
  <c r="F46" i="40"/>
  <c r="K86" i="93"/>
  <c r="E18" i="55"/>
  <c r="L100" i="29"/>
  <c r="I7" i="25"/>
  <c r="F11" i="51"/>
  <c r="N82" i="62"/>
  <c r="O47" i="86"/>
  <c r="F7" i="79"/>
  <c r="D34" i="44"/>
  <c r="O53" i="69"/>
  <c r="J58" i="79"/>
  <c r="E94" i="53"/>
  <c r="N32" i="72"/>
  <c r="K38" i="32"/>
  <c r="D51" i="81"/>
  <c r="K23" i="86"/>
  <c r="E41" i="72"/>
  <c r="E29" i="38"/>
  <c r="I89" i="75"/>
  <c r="L51" i="80"/>
  <c r="E70" i="39"/>
  <c r="I98" i="81"/>
  <c r="O54" i="45"/>
  <c r="F101" i="50"/>
  <c r="F65" i="55"/>
  <c r="J106" i="64"/>
  <c r="O17" i="26"/>
  <c r="F20" i="69"/>
  <c r="G5" i="60"/>
  <c r="L21" i="19"/>
  <c r="D100" i="80"/>
  <c r="M74" i="36"/>
  <c r="N40" i="54"/>
  <c r="G82" i="56"/>
  <c r="N35" i="91"/>
  <c r="E80" i="73"/>
  <c r="E79" i="85"/>
  <c r="I86" i="58"/>
  <c r="L32" i="89"/>
  <c r="I74" i="27"/>
  <c r="E80" i="61"/>
  <c r="I74" i="73"/>
  <c r="L104" i="46"/>
  <c r="K11" i="53"/>
  <c r="D23" i="60"/>
  <c r="L57" i="69"/>
  <c r="J74" i="46"/>
  <c r="K11" i="80"/>
  <c r="E26" i="36"/>
  <c r="E95" i="58"/>
  <c r="F50" i="75"/>
  <c r="O59" i="53"/>
  <c r="L58" i="89"/>
  <c r="M88" i="48"/>
  <c r="D100" i="35"/>
  <c r="K64" i="45"/>
  <c r="M15" i="49"/>
  <c r="H17" i="70"/>
  <c r="F23" i="29"/>
  <c r="K58" i="45"/>
  <c r="O101" i="54"/>
  <c r="E18" i="72"/>
  <c r="I21" i="67"/>
  <c r="F98" i="30"/>
  <c r="F58" i="74"/>
  <c r="H48" i="54"/>
  <c r="D82" i="72"/>
  <c r="E107" i="27"/>
  <c r="I80" i="75"/>
  <c r="E47" i="60"/>
  <c r="I11" i="47"/>
  <c r="K41" i="51"/>
  <c r="F55" i="50"/>
  <c r="D101" i="56"/>
  <c r="H47" i="32"/>
  <c r="M32" i="46"/>
  <c r="L5" i="93"/>
  <c r="H57" i="43"/>
  <c r="J92" i="93"/>
  <c r="M38" i="83"/>
  <c r="J77" i="26"/>
  <c r="I14" i="61"/>
  <c r="I95" i="71"/>
  <c r="N32" i="35"/>
  <c r="M77" i="32"/>
  <c r="K107" i="25"/>
  <c r="N40" i="71"/>
  <c r="F85" i="91"/>
  <c r="J104" i="49"/>
  <c r="J31" i="61"/>
  <c r="G47" i="80"/>
  <c r="J80" i="44"/>
  <c r="G34" i="83"/>
  <c r="M23" i="93"/>
  <c r="K10" i="56"/>
  <c r="L8" i="44"/>
  <c r="D47" i="39"/>
  <c r="H74" i="64"/>
  <c r="F103" i="94"/>
  <c r="G83" i="60"/>
  <c r="I64" i="74"/>
  <c r="F12" i="73"/>
  <c r="E5"/>
  <c r="E27" i="65"/>
  <c r="U14" i="96"/>
  <c r="N20" i="71"/>
  <c r="D18" i="55"/>
  <c r="E41" i="32"/>
  <c r="G46" i="73"/>
  <c r="AA14" i="96"/>
  <c r="K91" i="87"/>
  <c r="F50" i="46"/>
  <c r="G43" i="63"/>
  <c r="E34" i="48"/>
  <c r="M62" i="44"/>
  <c r="I80" i="46"/>
  <c r="J35" i="27"/>
  <c r="J48" i="62"/>
  <c r="D103" i="41"/>
  <c r="O49" i="65"/>
  <c r="D101" i="52"/>
  <c r="D67" i="57"/>
  <c r="F20" i="92"/>
  <c r="K57" i="25"/>
  <c r="E10" i="86"/>
  <c r="M54" i="43"/>
  <c r="M35" i="68"/>
  <c r="O26" i="69"/>
  <c r="E88" i="52"/>
  <c r="K47" i="65"/>
  <c r="H47" i="57"/>
  <c r="H37" i="83"/>
  <c r="M95" i="78"/>
  <c r="M39" i="40"/>
  <c r="H91" i="34"/>
  <c r="O65" i="30"/>
  <c r="M103" i="94"/>
  <c r="O52" i="62"/>
  <c r="J100" i="58"/>
  <c r="K13" i="65"/>
  <c r="H65" i="59"/>
  <c r="N52" i="48"/>
  <c r="H52" i="35"/>
  <c r="L46" i="78"/>
  <c r="D20" i="86"/>
  <c r="J53" i="84"/>
  <c r="D31" i="83"/>
  <c r="O62" i="45"/>
  <c r="M26" i="71"/>
  <c r="H13" i="36"/>
  <c r="G100" i="25"/>
  <c r="I107" i="92"/>
  <c r="N24" i="29"/>
  <c r="M26" i="86"/>
  <c r="L18" i="57"/>
  <c r="L31" i="78"/>
  <c r="E44" i="68"/>
  <c r="J51" i="30"/>
  <c r="K68" i="40"/>
  <c r="G7" i="33"/>
  <c r="N19" i="26"/>
  <c r="E40" i="36"/>
  <c r="E97" i="79"/>
  <c r="O45" i="74"/>
  <c r="K82" i="33"/>
  <c r="D73" i="49"/>
  <c r="E25" i="63"/>
  <c r="H41" i="27"/>
  <c r="D82" i="76"/>
  <c r="J51" i="64"/>
  <c r="F58" i="60"/>
  <c r="K94" i="54"/>
  <c r="D104" i="77"/>
  <c r="N40" i="90"/>
  <c r="E4" i="82"/>
  <c r="E106" i="49"/>
  <c r="N82" i="84"/>
  <c r="K30" i="77"/>
  <c r="L58" i="70"/>
  <c r="L88" i="82"/>
  <c r="E71" i="36"/>
  <c r="I31" i="71"/>
  <c r="D80" i="53"/>
  <c r="H14" i="38"/>
  <c r="N74" i="49"/>
  <c r="O40" i="84"/>
  <c r="G71" i="77"/>
  <c r="M28" i="83"/>
  <c r="L86" i="70"/>
  <c r="L97" i="47"/>
  <c r="O37" i="40"/>
  <c r="D27" i="70"/>
  <c r="J10" i="66"/>
  <c r="F34" i="56"/>
  <c r="M80" i="59"/>
  <c r="D100" i="33"/>
  <c r="L103" i="49"/>
  <c r="O50" i="55"/>
  <c r="J68" i="38"/>
  <c r="H98" i="29"/>
  <c r="G48" i="19"/>
  <c r="H26" i="69"/>
  <c r="M94" i="51"/>
  <c r="J20" i="26"/>
  <c r="G94" i="25"/>
  <c r="M14" i="46"/>
  <c r="F45" i="80"/>
  <c r="F56" i="27"/>
  <c r="H19" i="67"/>
  <c r="G45" i="45"/>
  <c r="O101" i="78"/>
  <c r="G29" i="92"/>
  <c r="D49" i="74"/>
  <c r="E32" i="30"/>
  <c r="I31" i="19"/>
  <c r="M42" i="92"/>
  <c r="I45" i="64"/>
  <c r="G38" i="79"/>
  <c r="J37" i="86"/>
  <c r="E6" i="73"/>
  <c r="F64" i="58"/>
  <c r="K70" i="90"/>
  <c r="M34" i="63"/>
  <c r="G52" i="67"/>
  <c r="H20" i="76"/>
  <c r="J15" i="36"/>
  <c r="O26" i="83"/>
  <c r="M71" i="74"/>
  <c r="N67" i="81"/>
  <c r="G64" i="54"/>
  <c r="D5" i="29"/>
  <c r="H54" i="87"/>
  <c r="D74" i="36"/>
  <c r="I36" i="63"/>
  <c r="J42" i="74"/>
  <c r="N61" i="45"/>
  <c r="K104" i="72"/>
  <c r="F32" i="34"/>
  <c r="O28" i="76"/>
  <c r="H9" i="61"/>
  <c r="H9" i="29"/>
  <c r="O85" i="65"/>
  <c r="N67" i="29"/>
  <c r="D76" i="32"/>
  <c r="D19" i="71"/>
  <c r="M97" i="38"/>
  <c r="N8" i="19"/>
  <c r="CK30" i="3" s="1"/>
  <c r="M18" i="56"/>
  <c r="J107" i="84"/>
  <c r="H56" i="40"/>
  <c r="D49" i="56"/>
  <c r="J7" i="63"/>
  <c r="O89" i="78"/>
  <c r="D56" i="57"/>
  <c r="G49" i="41"/>
  <c r="E53" i="49"/>
  <c r="F49"/>
  <c r="N79" i="90"/>
  <c r="E30" i="64"/>
  <c r="J70" i="66"/>
  <c r="J59" i="78"/>
  <c r="E74" i="47"/>
  <c r="G10" i="48"/>
  <c r="L58" i="59"/>
  <c r="H56" i="78"/>
  <c r="M54" i="32"/>
  <c r="J59" i="75"/>
  <c r="I97" i="66"/>
  <c r="E4" i="86"/>
  <c r="N35" i="62"/>
  <c r="K70" i="71"/>
  <c r="H23" i="74"/>
  <c r="M41" i="53"/>
  <c r="K70" i="47"/>
  <c r="J71" i="54"/>
  <c r="O88" i="72"/>
  <c r="I47" i="67"/>
  <c r="M30" i="35"/>
  <c r="O28" i="30"/>
  <c r="J18" i="82"/>
  <c r="H15" i="39"/>
  <c r="G73" i="59"/>
  <c r="K74" i="39"/>
  <c r="G12" i="59"/>
  <c r="D45" i="52"/>
  <c r="H59" i="27"/>
  <c r="F88" i="32"/>
  <c r="I14"/>
  <c r="M31"/>
  <c r="H8" i="62"/>
  <c r="E30" i="80"/>
  <c r="F71" i="26"/>
  <c r="E92" i="79"/>
  <c r="H46" i="49"/>
  <c r="L52" i="74"/>
  <c r="N22" i="68"/>
  <c r="O106" i="41"/>
  <c r="D18" i="71"/>
  <c r="J20" i="36"/>
  <c r="K85" i="41"/>
  <c r="J64" i="87"/>
  <c r="F98" i="45"/>
  <c r="J30" i="26"/>
  <c r="I32" i="68"/>
  <c r="O25" i="53"/>
  <c r="O43" i="80"/>
  <c r="F91" i="44"/>
  <c r="I29" i="85"/>
  <c r="E85" i="57"/>
  <c r="L94" i="84"/>
  <c r="E7" i="65"/>
  <c r="E92" i="38"/>
  <c r="D37" i="68"/>
  <c r="F41" i="41"/>
  <c r="H80" i="91"/>
  <c r="N18" i="47"/>
  <c r="N57" i="26"/>
  <c r="J40" i="63"/>
  <c r="N36" i="56"/>
  <c r="M41"/>
  <c r="D95" i="60"/>
  <c r="M59" i="94"/>
  <c r="G104" i="69"/>
  <c r="H44" i="83"/>
  <c r="F51" i="81"/>
  <c r="I57" i="86"/>
  <c r="L15" i="63"/>
  <c r="J42" i="83"/>
  <c r="K53" i="72"/>
  <c r="J54" i="35"/>
  <c r="H70" i="44"/>
  <c r="O82" i="86"/>
  <c r="E64" i="49"/>
  <c r="F101" i="80"/>
  <c r="E67" i="83"/>
  <c r="M48" i="65"/>
  <c r="E77" i="62"/>
  <c r="H55" i="40"/>
  <c r="L46" i="62"/>
  <c r="L97" i="82"/>
  <c r="H23" i="50"/>
  <c r="I43" i="30"/>
  <c r="O9" i="45"/>
  <c r="J86" i="70"/>
  <c r="J25" i="62"/>
  <c r="K79" i="67"/>
  <c r="H67" i="90"/>
  <c r="G15" i="71"/>
  <c r="J37" i="36"/>
  <c r="G77" i="52"/>
  <c r="L79" i="87"/>
  <c r="K107" i="54"/>
  <c r="F77" i="81"/>
  <c r="L51" i="54"/>
  <c r="K83" i="38"/>
  <c r="H39" i="82"/>
  <c r="L103" i="93"/>
  <c r="G50" i="19"/>
  <c r="H43" i="78"/>
  <c r="I32" i="55"/>
  <c r="F59" i="78"/>
  <c r="F101" i="84"/>
  <c r="N59" i="19"/>
  <c r="J27" i="80"/>
  <c r="G28" i="53"/>
  <c r="E98" i="26"/>
  <c r="H54" i="57"/>
  <c r="L49" i="82"/>
  <c r="D67" i="54"/>
  <c r="N101" i="84"/>
  <c r="O80" i="25"/>
  <c r="J10" i="68"/>
  <c r="O68" i="55"/>
  <c r="J80" i="86"/>
  <c r="G80" i="46"/>
  <c r="G40" i="70"/>
  <c r="M55" i="59"/>
  <c r="F55" i="29"/>
  <c r="E52" i="90"/>
  <c r="E48" i="43"/>
  <c r="M7" i="53"/>
  <c r="E28" i="83"/>
  <c r="F19" i="26"/>
  <c r="G62" i="29"/>
  <c r="E9" i="81"/>
  <c r="H89" i="93"/>
  <c r="E91" i="78"/>
  <c r="F22" i="66"/>
  <c r="K55" i="92"/>
  <c r="H12" i="26"/>
  <c r="O58"/>
  <c r="D31" i="46"/>
  <c r="G71" i="79"/>
  <c r="O48" i="25"/>
  <c r="J61" i="36"/>
  <c r="N65" i="30"/>
  <c r="L40" i="70"/>
  <c r="N54" i="64"/>
  <c r="K64" i="40"/>
  <c r="F91" i="60"/>
  <c r="K29" i="29"/>
  <c r="M55" i="48"/>
  <c r="H38" i="87"/>
  <c r="I24" i="58"/>
  <c r="F65" i="35"/>
  <c r="H77" i="90"/>
  <c r="K76" i="74"/>
  <c r="L79" i="59"/>
  <c r="M83" i="81"/>
  <c r="D33" i="91"/>
  <c r="H89" i="52"/>
  <c r="M58" i="32"/>
  <c r="N95" i="59"/>
  <c r="F67" i="77"/>
  <c r="K56" i="69"/>
  <c r="H28" i="80"/>
  <c r="H53" i="66"/>
  <c r="D20" i="51"/>
  <c r="G48" i="38"/>
  <c r="H54" i="19"/>
  <c r="G30" i="75"/>
  <c r="E59" i="47"/>
  <c r="G61" i="67"/>
  <c r="G61" i="81"/>
  <c r="K47" i="39"/>
  <c r="K15" i="64"/>
  <c r="M16" i="90"/>
  <c r="F36" i="79"/>
  <c r="D19" i="39"/>
  <c r="K79" i="19"/>
  <c r="D41" i="32"/>
  <c r="I35" i="63"/>
  <c r="K28" i="43"/>
  <c r="M44" i="57"/>
  <c r="I8" i="47"/>
  <c r="E43" i="86"/>
  <c r="D57" i="76"/>
  <c r="O7" i="34"/>
  <c r="D44" i="39"/>
  <c r="F7" i="68"/>
  <c r="M30" i="48"/>
  <c r="H94" i="93"/>
  <c r="E91" i="90"/>
  <c r="F52" i="55"/>
  <c r="CH55" i="3"/>
  <c r="K47" i="47"/>
  <c r="E17" i="45"/>
  <c r="G7" i="25"/>
  <c r="O50" i="29"/>
  <c r="L25" i="63"/>
  <c r="F39" i="77"/>
  <c r="I64" i="73"/>
  <c r="D27" i="80"/>
  <c r="L64" i="26"/>
  <c r="H85" i="44"/>
  <c r="D34" i="41"/>
  <c r="M18" i="43"/>
  <c r="M42" i="54"/>
  <c r="I64" i="87"/>
  <c r="O80" i="36"/>
  <c r="I26" i="89"/>
  <c r="G47" i="48"/>
  <c r="D62" i="45"/>
  <c r="E73" i="59"/>
  <c r="G29" i="51"/>
  <c r="F56" i="81"/>
  <c r="L54" i="68"/>
  <c r="E67" i="26"/>
  <c r="M18" i="35"/>
  <c r="J76" i="36"/>
  <c r="N27" i="70"/>
  <c r="D28" i="45"/>
  <c r="G27" i="51"/>
  <c r="M15" i="92"/>
  <c r="M16" i="89"/>
  <c r="G20" i="65"/>
  <c r="M74" i="53"/>
  <c r="H31" i="89"/>
  <c r="H79" i="59"/>
  <c r="I14" i="86"/>
  <c r="K19" i="90"/>
  <c r="K26" i="57"/>
  <c r="M36" i="82"/>
  <c r="N54" i="45"/>
  <c r="O101" i="19"/>
  <c r="N11" i="46"/>
  <c r="E55" i="51"/>
  <c r="O40" i="90"/>
  <c r="D33" i="19"/>
  <c r="L104" i="48"/>
  <c r="M41" i="44"/>
  <c r="K73" i="89"/>
  <c r="H14" i="70"/>
  <c r="G26" i="50"/>
  <c r="F35" i="47"/>
  <c r="M67" i="38"/>
  <c r="K52" i="76"/>
  <c r="L4" i="27"/>
  <c r="N37" i="86"/>
  <c r="J58" i="53"/>
  <c r="I65" i="30"/>
  <c r="L64" i="68"/>
  <c r="M50" i="61"/>
  <c r="L11" i="41"/>
  <c r="F77" i="73"/>
  <c r="L37" i="46"/>
  <c r="G8" i="76"/>
  <c r="M21" i="43"/>
  <c r="E47" i="71"/>
  <c r="K79" i="58"/>
  <c r="J44" i="33"/>
  <c r="K101" i="53"/>
  <c r="G43" i="82"/>
  <c r="D6" i="67"/>
  <c r="F95" i="54"/>
  <c r="G52" i="41"/>
  <c r="F89" i="39"/>
  <c r="M74" i="40"/>
  <c r="E79" i="92"/>
  <c r="H100" i="41"/>
  <c r="K30" i="78"/>
  <c r="D103" i="82"/>
  <c r="D71" i="92"/>
  <c r="E31" i="43"/>
  <c r="N34" i="44"/>
  <c r="E57" i="93"/>
  <c r="F46" i="38"/>
  <c r="K33" i="34"/>
  <c r="I70" i="87"/>
  <c r="N59" i="62"/>
  <c r="N39" i="87"/>
  <c r="H77" i="92"/>
  <c r="H100" i="81"/>
  <c r="I20" i="93"/>
  <c r="J27" i="89"/>
  <c r="O95" i="62"/>
  <c r="I5" i="54"/>
  <c r="G88" i="51"/>
  <c r="H13" i="68"/>
  <c r="M71" i="65"/>
  <c r="K38" i="91"/>
  <c r="D28" i="90"/>
  <c r="E67" i="55"/>
  <c r="K86" i="38"/>
  <c r="I39" i="36"/>
  <c r="J21" i="71"/>
  <c r="M22" i="83"/>
  <c r="M33" i="66"/>
  <c r="M67" i="70"/>
  <c r="E33" i="54"/>
  <c r="K29" i="93"/>
  <c r="I94" i="45"/>
  <c r="H43" i="39"/>
  <c r="J58" i="38"/>
  <c r="L59" i="56"/>
  <c r="M92" i="91"/>
  <c r="O98" i="83"/>
  <c r="J89" i="48"/>
  <c r="D17" i="93"/>
  <c r="M5" i="49"/>
  <c r="G30" i="79"/>
  <c r="H30" i="58"/>
  <c r="G42" i="87"/>
  <c r="G44" i="78"/>
  <c r="I10" i="30"/>
  <c r="K56" i="56"/>
  <c r="F71" i="91"/>
  <c r="I55" i="34"/>
  <c r="E39" i="89"/>
  <c r="F103" i="84"/>
  <c r="J95" i="58"/>
  <c r="F21" i="45"/>
  <c r="L34" i="86"/>
  <c r="J15" i="44"/>
  <c r="E29" i="78"/>
  <c r="H100" i="25"/>
  <c r="G67" i="35"/>
  <c r="K25" i="26"/>
  <c r="D55" i="85"/>
  <c r="F32" i="40"/>
  <c r="J73" i="83"/>
  <c r="F9" i="61"/>
  <c r="E25" i="80"/>
  <c r="G64" i="83"/>
  <c r="J11" i="43"/>
  <c r="E35" i="74"/>
  <c r="D46" i="59"/>
  <c r="N101" i="51"/>
  <c r="K61" i="32"/>
  <c r="K26" i="91"/>
  <c r="F55" i="32"/>
  <c r="O16" i="27"/>
  <c r="G49" i="78"/>
  <c r="D47" i="64"/>
  <c r="H42" i="35"/>
  <c r="O4" i="43"/>
  <c r="L95" i="66"/>
  <c r="H42" i="43"/>
  <c r="G46" i="89"/>
  <c r="O28" i="32"/>
  <c r="F64" i="55"/>
  <c r="E44" i="41"/>
  <c r="O52" i="72"/>
  <c r="D86" i="60"/>
  <c r="M25" i="65"/>
  <c r="D30" i="34"/>
  <c r="J9" i="86"/>
  <c r="E31" i="34"/>
  <c r="D91" i="69"/>
  <c r="G83" i="86"/>
  <c r="L29" i="36"/>
  <c r="N8" i="32"/>
  <c r="E13" i="36"/>
  <c r="D49" i="83"/>
  <c r="F50" i="62"/>
  <c r="F14" i="64"/>
  <c r="M27" i="49"/>
  <c r="N106" i="61"/>
  <c r="M57" i="76"/>
  <c r="E34" i="64"/>
  <c r="O53" i="94"/>
  <c r="D68" i="51"/>
  <c r="D79" i="77"/>
  <c r="D36" i="56"/>
  <c r="G54" i="76"/>
  <c r="J36" i="81"/>
  <c r="F11" i="65"/>
  <c r="I21" i="85"/>
  <c r="F67" i="58"/>
  <c r="N103" i="44"/>
  <c r="K42" i="76"/>
  <c r="D59" i="34"/>
  <c r="D37" i="92"/>
  <c r="H86" i="89"/>
  <c r="I94" i="54"/>
  <c r="E7" i="47"/>
  <c r="E23" i="40"/>
  <c r="N13" i="39"/>
  <c r="M62" i="59"/>
  <c r="N34" i="51"/>
  <c r="E71" i="62"/>
  <c r="E34" i="67"/>
  <c r="G28" i="60"/>
  <c r="N14" i="61"/>
  <c r="H27" i="78"/>
  <c r="F67" i="50"/>
  <c r="I16" i="87"/>
  <c r="D42" i="72"/>
  <c r="I25" i="38"/>
  <c r="H57" i="80"/>
  <c r="E39" i="38"/>
  <c r="L10" i="30"/>
  <c r="G80" i="91"/>
  <c r="I65" i="62"/>
  <c r="I52" i="65"/>
  <c r="E33" i="63"/>
  <c r="F101" i="69"/>
  <c r="J76" i="73"/>
  <c r="O22" i="40"/>
  <c r="K107" i="61"/>
  <c r="F95" i="33"/>
  <c r="E18" i="69"/>
  <c r="J41" i="36"/>
  <c r="D16" i="52"/>
  <c r="E76" i="53"/>
  <c r="N45" i="32"/>
  <c r="D67" i="61"/>
  <c r="E64" i="46"/>
  <c r="M19" i="62"/>
  <c r="D25"/>
  <c r="L50" i="92"/>
  <c r="O15" i="77"/>
  <c r="F12" i="36"/>
  <c r="I49" i="68"/>
  <c r="M9" i="26"/>
  <c r="J21" i="46"/>
  <c r="H61" i="50"/>
  <c r="J79" i="64"/>
  <c r="G85" i="35"/>
  <c r="M92" i="40"/>
  <c r="E7" i="53"/>
  <c r="J106" i="60"/>
  <c r="E11" i="91"/>
  <c r="J30" i="47"/>
  <c r="J80" i="25"/>
  <c r="M31" i="36"/>
  <c r="F18" i="66"/>
  <c r="D22" i="45"/>
  <c r="K37" i="71"/>
  <c r="E51" i="34"/>
  <c r="O37" i="60"/>
  <c r="I61" i="34"/>
  <c r="J103" i="33"/>
  <c r="K80" i="41"/>
  <c r="D103" i="58"/>
  <c r="E79" i="45"/>
  <c r="K107" i="65"/>
  <c r="N62" i="35"/>
  <c r="D92" i="36"/>
  <c r="H47" i="58"/>
  <c r="F18" i="74"/>
  <c r="D30" i="41"/>
  <c r="O107" i="45"/>
  <c r="N64" i="53"/>
  <c r="K57" i="81"/>
  <c r="G100" i="47"/>
  <c r="N18" i="51"/>
  <c r="L106"/>
  <c r="E42" i="60"/>
  <c r="O40" i="39"/>
  <c r="H106" i="65"/>
  <c r="M11" i="64"/>
  <c r="F33" i="33"/>
  <c r="G25" i="57"/>
  <c r="I47" i="85"/>
  <c r="F95" i="39"/>
  <c r="M38" i="32"/>
  <c r="N44" i="82"/>
  <c r="J10" i="49"/>
  <c r="E89" i="51"/>
  <c r="O70" i="53"/>
  <c r="N23" i="35"/>
  <c r="E15" i="56"/>
  <c r="O48" i="19"/>
  <c r="H54" i="43"/>
  <c r="D91" i="85"/>
  <c r="E61" i="65"/>
  <c r="D54" i="93"/>
  <c r="O106" i="80"/>
  <c r="E97" i="46"/>
  <c r="O77" i="80"/>
  <c r="N27" i="30"/>
  <c r="F11" i="60"/>
  <c r="G39" i="86"/>
  <c r="M95" i="36"/>
  <c r="E46" i="72"/>
  <c r="J52"/>
  <c r="L18" i="89"/>
  <c r="I43" i="36"/>
  <c r="E29" i="32"/>
  <c r="D14" i="51"/>
  <c r="M6" i="34"/>
  <c r="N77" i="36"/>
  <c r="I20" i="84"/>
  <c r="E74" i="69"/>
  <c r="J26" i="53"/>
  <c r="K21" i="64"/>
  <c r="I64" i="67"/>
  <c r="K62" i="58"/>
  <c r="E104" i="56"/>
  <c r="L36" i="83"/>
  <c r="I29" i="54"/>
  <c r="L6" i="60"/>
  <c r="L23" i="61"/>
  <c r="L92" i="53"/>
  <c r="N71" i="77"/>
  <c r="F86" i="94"/>
  <c r="M18" i="32"/>
  <c r="D85" i="87"/>
  <c r="E89" i="57"/>
  <c r="M71" i="81"/>
  <c r="N104" i="54"/>
  <c r="J62" i="58"/>
  <c r="F65" i="66"/>
  <c r="O38" i="65"/>
  <c r="N61" i="35"/>
  <c r="J54" i="53"/>
  <c r="F92" i="25"/>
  <c r="J21" i="39"/>
  <c r="M4" i="57"/>
  <c r="D49" i="55"/>
  <c r="K53" i="48"/>
  <c r="L37" i="49"/>
  <c r="M21" i="57"/>
  <c r="G86" i="29"/>
  <c r="E85" i="79"/>
  <c r="F14" i="53"/>
  <c r="M98" i="47"/>
  <c r="H64" i="91"/>
  <c r="K52" i="94"/>
  <c r="H28" i="51"/>
  <c r="D20" i="78"/>
  <c r="E28" i="29"/>
  <c r="G70" i="68"/>
  <c r="D106" i="79"/>
  <c r="I15" i="33"/>
  <c r="E41" i="81"/>
  <c r="E42" i="93"/>
  <c r="J6" i="87"/>
  <c r="N54" i="83"/>
  <c r="D36" i="70"/>
  <c r="O58"/>
  <c r="I59" i="65"/>
  <c r="N56" i="40"/>
  <c r="I74" i="77"/>
  <c r="J56" i="71"/>
  <c r="G5" i="93"/>
  <c r="F52" i="50"/>
  <c r="N76" i="64"/>
  <c r="K43" i="69"/>
  <c r="L4" i="86"/>
  <c r="O22" i="91"/>
  <c r="N68" i="57"/>
  <c r="K43" i="36"/>
  <c r="K47" i="89"/>
  <c r="J21" i="90"/>
  <c r="E24" i="44"/>
  <c r="M19" i="61"/>
  <c r="L28" i="58"/>
  <c r="J5" i="91"/>
  <c r="K16" i="29"/>
  <c r="N22" i="69"/>
  <c r="N12" i="45"/>
  <c r="G44" i="49"/>
  <c r="E59" i="34"/>
  <c r="D52" i="94"/>
  <c r="I21" i="41"/>
  <c r="J73" i="79"/>
  <c r="I82" i="69"/>
  <c r="H36" i="32"/>
  <c r="E19" i="66"/>
  <c r="J55" i="55"/>
  <c r="F85" i="44"/>
  <c r="K41" i="82"/>
  <c r="F94" i="94"/>
  <c r="K37" i="47"/>
  <c r="N61"/>
  <c r="G27" i="80"/>
  <c r="M91" i="69"/>
  <c r="H67" i="79"/>
  <c r="D36" i="48"/>
  <c r="H32" i="39"/>
  <c r="K74" i="66"/>
  <c r="I15" i="38"/>
  <c r="E29" i="66"/>
  <c r="G51" i="72"/>
  <c r="G55" i="84"/>
  <c r="H32" i="50"/>
  <c r="E100" i="85"/>
  <c r="L56" i="64"/>
  <c r="H13" i="61"/>
  <c r="J14" i="76"/>
  <c r="D18" i="42"/>
  <c r="H62" i="90"/>
  <c r="D13" i="94"/>
  <c r="I101" i="47"/>
  <c r="O71" i="19"/>
  <c r="J51" i="43"/>
  <c r="D22" i="41"/>
  <c r="D7" i="68"/>
  <c r="K70" i="26"/>
  <c r="L56" i="62"/>
  <c r="F62" i="81"/>
  <c r="I22" i="61"/>
  <c r="M83" i="56"/>
  <c r="O79" i="76"/>
  <c r="J61" i="50"/>
  <c r="H44" i="86"/>
  <c r="H36" i="42"/>
  <c r="O73" i="29"/>
  <c r="F79" i="69"/>
  <c r="J59" i="79"/>
  <c r="L11" i="63"/>
  <c r="H52" i="29"/>
  <c r="K27" i="43"/>
  <c r="H7" i="74"/>
  <c r="H31" i="61"/>
  <c r="L23" i="32"/>
  <c r="I41" i="78"/>
  <c r="K52" i="19"/>
  <c r="F73" i="62"/>
  <c r="G43" i="58"/>
  <c r="E65" i="84"/>
  <c r="O82" i="82"/>
  <c r="D88" i="45"/>
  <c r="I40" i="92"/>
  <c r="I39" i="81"/>
  <c r="J15" i="78"/>
  <c r="K79" i="56"/>
  <c r="F45" i="48"/>
  <c r="F35" i="83"/>
  <c r="F55" i="57"/>
  <c r="J40" i="81"/>
  <c r="D98" i="68"/>
  <c r="K52" i="43"/>
  <c r="D80" i="42"/>
  <c r="D5" i="41"/>
  <c r="F41" i="40"/>
  <c r="E50" i="79"/>
  <c r="N34" i="67"/>
  <c r="F42" i="69"/>
  <c r="K80" i="65"/>
  <c r="O91" i="56"/>
  <c r="G31"/>
  <c r="L13" i="41"/>
  <c r="O59" i="57"/>
  <c r="L91" i="39"/>
  <c r="G34" i="67"/>
  <c r="O53" i="70"/>
  <c r="O31" i="33"/>
  <c r="N100" i="75"/>
  <c r="D7" i="67"/>
  <c r="D12" i="46"/>
  <c r="L73" i="33"/>
  <c r="L42" i="75"/>
  <c r="L24" i="46"/>
  <c r="I32" i="94"/>
  <c r="O37" i="56"/>
  <c r="I71" i="93"/>
  <c r="M76" i="56"/>
  <c r="K71" i="49"/>
  <c r="L61" i="77"/>
  <c r="J39" i="27"/>
  <c r="G47" i="60"/>
  <c r="O34" i="53"/>
  <c r="F85" i="48"/>
  <c r="I95" i="61"/>
  <c r="F19" i="77"/>
  <c r="G54" i="93"/>
  <c r="F22" i="92"/>
  <c r="G31" i="36"/>
  <c r="F14" i="42"/>
  <c r="O38" i="25"/>
  <c r="O38" i="39"/>
  <c r="J13" i="56"/>
  <c r="L100" i="34"/>
  <c r="G59" i="56"/>
  <c r="F35" i="77"/>
  <c r="F35" i="33"/>
  <c r="O80" i="72"/>
  <c r="L83" i="78"/>
  <c r="K26" i="49"/>
  <c r="K46" i="54"/>
  <c r="N53" i="94"/>
  <c r="J48" i="93"/>
  <c r="L20" i="84"/>
  <c r="D39" i="50"/>
  <c r="N56" i="80"/>
  <c r="G92" i="68"/>
  <c r="M86" i="75"/>
  <c r="N65" i="57"/>
  <c r="N6" i="55"/>
  <c r="J49" i="41"/>
  <c r="J57" i="87"/>
  <c r="L23" i="47"/>
  <c r="K15" i="62"/>
  <c r="I86" i="66"/>
  <c r="I11" i="30"/>
  <c r="D50" i="45"/>
  <c r="O37" i="47"/>
  <c r="D36" i="34"/>
  <c r="L106" i="62"/>
  <c r="F51" i="61"/>
  <c r="H106" i="60"/>
  <c r="L55" i="81"/>
  <c r="E79" i="38"/>
  <c r="N7" i="74"/>
  <c r="J25" i="89"/>
  <c r="N42" i="54"/>
  <c r="F86" i="66"/>
  <c r="D41" i="51"/>
  <c r="D42" i="35"/>
  <c r="L44" i="30"/>
  <c r="J68" i="57"/>
  <c r="O92" i="25"/>
  <c r="I70" i="82"/>
  <c r="F85" i="68"/>
  <c r="N31" i="58"/>
  <c r="M7" i="66"/>
  <c r="O52" i="47"/>
  <c r="G8" i="39"/>
  <c r="N86" i="84"/>
  <c r="K104" i="59"/>
  <c r="N83" i="29"/>
  <c r="D67" i="34"/>
  <c r="I80" i="56"/>
  <c r="M22" i="47"/>
  <c r="F98" i="91"/>
  <c r="E15" i="40"/>
  <c r="M107" i="91"/>
  <c r="E26" i="93"/>
  <c r="N91" i="25"/>
  <c r="H65" i="19"/>
  <c r="O30" i="71"/>
  <c r="E100" i="91"/>
  <c r="D67" i="92"/>
  <c r="L82" i="54"/>
  <c r="I45" i="30"/>
  <c r="N76" i="83"/>
  <c r="I57" i="35"/>
  <c r="N8" i="77"/>
  <c r="I89" i="92"/>
  <c r="K42" i="46"/>
  <c r="G21" i="91"/>
  <c r="D31" i="26"/>
  <c r="H95"/>
  <c r="O27" i="86"/>
  <c r="H91" i="40"/>
  <c r="H86" i="80"/>
  <c r="D88" i="25"/>
  <c r="O21" i="86"/>
  <c r="D36" i="25"/>
  <c r="E35" i="72"/>
  <c r="J70" i="58"/>
  <c r="J67" i="77"/>
  <c r="I17" i="91"/>
  <c r="D107" i="61"/>
  <c r="K38" i="36"/>
  <c r="G27" i="68"/>
  <c r="H46" i="92"/>
  <c r="L26" i="36"/>
  <c r="K31" i="53"/>
  <c r="I45" i="67"/>
  <c r="J106" i="19"/>
  <c r="N73" i="91"/>
  <c r="F103" i="44"/>
  <c r="E88" i="84"/>
  <c r="L11" i="51"/>
  <c r="H92" i="50"/>
  <c r="N92" i="33"/>
  <c r="M41" i="54"/>
  <c r="H9" i="69"/>
  <c r="F28" i="83"/>
  <c r="E30" i="66"/>
  <c r="O57" i="80"/>
  <c r="H48" i="67"/>
  <c r="L46" i="71"/>
  <c r="J33" i="62"/>
  <c r="E56" i="30"/>
  <c r="I5" i="72"/>
  <c r="F10" i="84"/>
  <c r="H101" i="43"/>
  <c r="G13" i="34"/>
  <c r="I92" i="65"/>
  <c r="O104" i="73"/>
  <c r="M38" i="66"/>
  <c r="O97" i="67"/>
  <c r="H10" i="93"/>
  <c r="O76" i="36"/>
  <c r="H35" i="41"/>
  <c r="I83" i="56"/>
  <c r="F57" i="75"/>
  <c r="L58" i="43"/>
  <c r="G32" i="46"/>
  <c r="L35" i="78"/>
  <c r="H17" i="45"/>
  <c r="J67" i="26"/>
  <c r="G36" i="52"/>
  <c r="D67" i="29"/>
  <c r="L28" i="75"/>
  <c r="O32" i="38"/>
  <c r="D50" i="93"/>
  <c r="M58" i="64"/>
  <c r="H7" i="29"/>
  <c r="F20" i="66"/>
  <c r="K52" i="57"/>
  <c r="L30" i="53"/>
  <c r="L29" i="19"/>
  <c r="J62" i="41"/>
  <c r="D51" i="40"/>
  <c r="E5" i="48"/>
  <c r="L85" i="51"/>
  <c r="F33" i="65"/>
  <c r="O86" i="93"/>
  <c r="F52" i="72"/>
  <c r="K71" i="78"/>
  <c r="O38" i="41"/>
  <c r="M67" i="32"/>
  <c r="L59" i="89"/>
  <c r="D19" i="43"/>
  <c r="E19" i="46"/>
  <c r="F67" i="86"/>
  <c r="H106" i="64"/>
  <c r="I8" i="61"/>
  <c r="H25" i="55"/>
  <c r="M11" i="44"/>
  <c r="E21"/>
  <c r="I89" i="39"/>
  <c r="N73" i="84"/>
  <c r="D68" i="57"/>
  <c r="E32" i="84"/>
  <c r="F92" i="87"/>
  <c r="K67" i="78"/>
  <c r="E18" i="79"/>
  <c r="G25" i="39"/>
  <c r="M49" i="46"/>
  <c r="L25" i="25"/>
  <c r="I57" i="33"/>
  <c r="L4" i="71"/>
  <c r="F104" i="81"/>
  <c r="N26" i="73"/>
  <c r="I88" i="33"/>
  <c r="F65" i="91"/>
  <c r="G46" i="48"/>
  <c r="L38"/>
  <c r="L51" i="83"/>
  <c r="F22" i="90"/>
  <c r="L82"/>
  <c r="I56" i="49"/>
  <c r="G53" i="57"/>
  <c r="H103" i="71"/>
  <c r="E106" i="52"/>
  <c r="E25" i="78"/>
  <c r="E41" i="62"/>
  <c r="D54" i="26"/>
  <c r="N29" i="70"/>
  <c r="D12" i="72"/>
  <c r="E94" i="55"/>
  <c r="E68" i="42"/>
  <c r="I8" i="68"/>
  <c r="L70" i="41"/>
  <c r="I104" i="60"/>
  <c r="L64" i="65"/>
  <c r="G103" i="79"/>
  <c r="N79" i="80"/>
  <c r="N18" i="39"/>
  <c r="M41" i="51"/>
  <c r="G79" i="39"/>
  <c r="H58" i="80"/>
  <c r="G83" i="59"/>
  <c r="J56"/>
  <c r="D25" i="92"/>
  <c r="I104" i="39"/>
  <c r="O46" i="81"/>
  <c r="J11" i="64"/>
  <c r="J11" i="56"/>
  <c r="L37" i="39"/>
  <c r="O15" i="84"/>
  <c r="N76" i="54"/>
  <c r="E38" i="38"/>
  <c r="L9" i="62"/>
  <c r="F41" i="92"/>
  <c r="E36"/>
  <c r="H74" i="34"/>
  <c r="M59" i="32"/>
  <c r="N80" i="51"/>
  <c r="O31" i="66"/>
  <c r="L48" i="80"/>
  <c r="K5" i="56"/>
  <c r="G100" i="64"/>
  <c r="D42" i="36"/>
  <c r="I57" i="93"/>
  <c r="K48" i="86"/>
  <c r="D88" i="75"/>
  <c r="D106" i="39"/>
  <c r="K42" i="47"/>
  <c r="E77" i="51"/>
  <c r="E74" i="83"/>
  <c r="H8" i="79"/>
  <c r="I95" i="50"/>
  <c r="E85" i="65"/>
  <c r="L68" i="70"/>
  <c r="O5" i="72"/>
  <c r="O68" i="71"/>
  <c r="F23" i="43"/>
  <c r="F49" i="38"/>
  <c r="H97" i="60"/>
  <c r="N7" i="66"/>
  <c r="E73" i="36"/>
  <c r="G37" i="80"/>
  <c r="M5" i="54"/>
  <c r="G44" i="38"/>
  <c r="O36" i="39"/>
  <c r="N54" i="29"/>
  <c r="H61" i="57"/>
  <c r="I73" i="93"/>
  <c r="N25" i="65"/>
  <c r="E24" i="42"/>
  <c r="J25" i="72"/>
  <c r="I55" i="59"/>
  <c r="G103" i="81"/>
  <c r="D7" i="53"/>
  <c r="E76" i="32"/>
  <c r="E37" i="84"/>
  <c r="J62" i="92"/>
  <c r="E76" i="87"/>
  <c r="O86" i="35"/>
  <c r="I16" i="55"/>
  <c r="J36" i="92"/>
  <c r="G79" i="49"/>
  <c r="L70"/>
  <c r="I74" i="67"/>
  <c r="L83" i="91"/>
  <c r="N16" i="84"/>
  <c r="H8" i="66"/>
  <c r="H58" i="40"/>
  <c r="J64" i="91"/>
  <c r="D8" i="40"/>
  <c r="I29" i="51"/>
  <c r="E26" i="55"/>
  <c r="N52" i="63"/>
  <c r="I17" i="79"/>
  <c r="I43"/>
  <c r="I53" i="50"/>
  <c r="J35" i="90"/>
  <c r="H65" i="70"/>
  <c r="D85" i="40"/>
  <c r="I97" i="42"/>
  <c r="J17" i="59"/>
  <c r="I30" i="34"/>
  <c r="I43" i="40"/>
  <c r="M100" i="58"/>
  <c r="L48" i="40"/>
  <c r="N41" i="56"/>
  <c r="G57" i="70"/>
  <c r="L104" i="69"/>
  <c r="L38" i="71"/>
  <c r="I59" i="27"/>
  <c r="H67" i="92"/>
  <c r="F14" i="55"/>
  <c r="K5" i="84"/>
  <c r="N86" i="58"/>
  <c r="G29" i="84"/>
  <c r="I35" i="19"/>
  <c r="H76" i="80"/>
  <c r="N56" i="19"/>
  <c r="M17" i="56"/>
  <c r="G32" i="77"/>
  <c r="O49" i="46"/>
  <c r="F86" i="44"/>
  <c r="L43" i="81"/>
  <c r="H48" i="19"/>
  <c r="J46" i="70"/>
  <c r="K65" i="19"/>
  <c r="D28" i="25"/>
  <c r="J28" i="29"/>
  <c r="H76" i="73"/>
  <c r="J32" i="92"/>
  <c r="N54" i="19"/>
  <c r="E7" i="79"/>
  <c r="O62" i="81"/>
  <c r="N42" i="26"/>
  <c r="K62" i="64"/>
  <c r="O97" i="70"/>
  <c r="H83" i="19"/>
  <c r="N85" i="73"/>
  <c r="J58" i="83"/>
  <c r="F52" i="67"/>
  <c r="O103" i="69"/>
  <c r="E91" i="73"/>
  <c r="F17" i="29"/>
  <c r="D16" i="35"/>
  <c r="O56" i="93"/>
  <c r="O6" i="25"/>
  <c r="J6" i="82"/>
  <c r="I56" i="47"/>
  <c r="N7" i="77"/>
  <c r="E23" i="81"/>
  <c r="E38" i="52"/>
  <c r="D36" i="33"/>
  <c r="L94" i="46"/>
  <c r="D33" i="73"/>
  <c r="E45" i="44"/>
  <c r="J49" i="90"/>
  <c r="N68" i="27"/>
  <c r="I30" i="41"/>
  <c r="H89" i="83"/>
  <c r="G91" i="82"/>
  <c r="D86" i="59"/>
  <c r="J20" i="74"/>
  <c r="L97" i="93"/>
  <c r="I107" i="57"/>
  <c r="O57" i="75"/>
  <c r="J97" i="34"/>
  <c r="H30" i="94"/>
  <c r="M33" i="58"/>
  <c r="G64" i="68"/>
  <c r="N58" i="76"/>
  <c r="O39" i="38"/>
  <c r="G57" i="19"/>
  <c r="K106" i="78"/>
  <c r="M101" i="77"/>
  <c r="J52"/>
  <c r="D27" i="52"/>
  <c r="O48" i="36"/>
  <c r="L33" i="68"/>
  <c r="I22" i="69"/>
  <c r="G32" i="43"/>
  <c r="E4" i="25"/>
  <c r="I25" i="41"/>
  <c r="H12" i="73"/>
  <c r="J24" i="83"/>
  <c r="H51" i="85"/>
  <c r="N53" i="61"/>
  <c r="J38" i="40"/>
  <c r="E80" i="51"/>
  <c r="H23" i="52"/>
  <c r="G48" i="69"/>
  <c r="I101" i="60"/>
  <c r="L13" i="65"/>
  <c r="J44" i="25"/>
  <c r="I7" i="78"/>
  <c r="H70" i="39"/>
  <c r="F89" i="36"/>
  <c r="H67" i="71"/>
  <c r="J39" i="46"/>
  <c r="I54" i="73"/>
  <c r="L4" i="47"/>
  <c r="F21" i="87"/>
  <c r="N97" i="74"/>
  <c r="E83" i="66"/>
  <c r="L43" i="46"/>
  <c r="I41" i="51"/>
  <c r="K24" i="84"/>
  <c r="H19" i="41"/>
  <c r="N94" i="51"/>
  <c r="K40" i="45"/>
  <c r="N61" i="77"/>
  <c r="G31" i="61"/>
  <c r="L22" i="40"/>
  <c r="N82" i="25"/>
  <c r="G70" i="66"/>
  <c r="K95" i="53"/>
  <c r="F53" i="62"/>
  <c r="I9" i="30"/>
  <c r="M61" i="57"/>
  <c r="O23" i="60"/>
  <c r="J95" i="72"/>
  <c r="E77"/>
  <c r="J36" i="60"/>
  <c r="O47"/>
  <c r="I100" i="71"/>
  <c r="L65" i="87"/>
  <c r="H77" i="36"/>
  <c r="F82" i="75"/>
  <c r="N12" i="40"/>
  <c r="M21" i="29"/>
  <c r="M61" i="83"/>
  <c r="L107" i="53"/>
  <c r="L27" i="27"/>
  <c r="O97" i="63"/>
  <c r="M16" i="56"/>
  <c r="L11" i="76"/>
  <c r="F10" i="29"/>
  <c r="E6" i="64"/>
  <c r="G13" i="33"/>
  <c r="O53" i="89"/>
  <c r="N36" i="53"/>
  <c r="N15" i="69"/>
  <c r="H14" i="33"/>
  <c r="J27" i="45"/>
  <c r="N30" i="84"/>
  <c r="K100" i="83"/>
  <c r="H8" i="69"/>
  <c r="I15" i="82"/>
  <c r="H16" i="77"/>
  <c r="G82" i="48"/>
  <c r="I20" i="92"/>
  <c r="J91" i="84"/>
  <c r="O43" i="58"/>
  <c r="N98" i="19"/>
  <c r="M53" i="43"/>
  <c r="H88" i="52"/>
  <c r="I76" i="81"/>
  <c r="F13" i="39"/>
  <c r="I21" i="84"/>
  <c r="L11" i="59"/>
  <c r="O40" i="89"/>
  <c r="O47" i="70"/>
  <c r="N33" i="75"/>
  <c r="M26" i="68"/>
  <c r="I58" i="49"/>
  <c r="J22" i="48"/>
  <c r="F21" i="59"/>
  <c r="I4" i="49"/>
  <c r="N16" i="60"/>
  <c r="I53" i="91"/>
  <c r="N5" i="38"/>
  <c r="D43" i="80"/>
  <c r="G53" i="50"/>
  <c r="J9" i="51"/>
  <c r="K74" i="87"/>
  <c r="I55" i="26"/>
  <c r="E36" i="79"/>
  <c r="H35" i="57"/>
  <c r="J50" i="25"/>
  <c r="L39" i="49"/>
  <c r="D107" i="54"/>
  <c r="F38" i="89"/>
  <c r="I104" i="27"/>
  <c r="K68" i="32"/>
  <c r="D16" i="84"/>
  <c r="N39" i="82"/>
  <c r="I4" i="59"/>
  <c r="K34" i="82"/>
  <c r="L76" i="27"/>
  <c r="N67" i="19"/>
  <c r="G28" i="85"/>
  <c r="I46" i="54"/>
  <c r="G22" i="77"/>
  <c r="K80" i="80"/>
  <c r="N85" i="94"/>
  <c r="G4" i="60"/>
  <c r="D50" i="39"/>
  <c r="D52" i="36"/>
  <c r="D98" i="86"/>
  <c r="F91" i="57"/>
  <c r="M17" i="86"/>
  <c r="L59" i="51"/>
  <c r="G32" i="26"/>
  <c r="E92" i="93"/>
  <c r="K5" i="30"/>
  <c r="D39" i="76"/>
  <c r="E44" i="46"/>
  <c r="E19" i="48"/>
  <c r="G70" i="45"/>
  <c r="E23" i="30"/>
  <c r="G53" i="75"/>
  <c r="F47" i="91"/>
  <c r="L101" i="66"/>
  <c r="L98" i="43"/>
  <c r="F43" i="59"/>
  <c r="I13" i="55"/>
  <c r="L7" i="87"/>
  <c r="N11" i="77"/>
  <c r="F18" i="56"/>
  <c r="O18" i="53"/>
  <c r="D8" i="87"/>
  <c r="I51" i="54"/>
  <c r="F94" i="25"/>
  <c r="G30" i="80"/>
  <c r="G21" i="25"/>
  <c r="G4" i="35"/>
  <c r="M104" i="74"/>
  <c r="M57" i="83"/>
  <c r="J29" i="47"/>
  <c r="J49" i="51"/>
  <c r="G51" i="39"/>
  <c r="D24" i="65"/>
  <c r="M67" i="94"/>
  <c r="L98" i="44"/>
  <c r="I74" i="66"/>
  <c r="F49" i="93"/>
  <c r="H77" i="25"/>
  <c r="E94" i="69"/>
  <c r="H45"/>
  <c r="D28" i="81"/>
  <c r="E80" i="59"/>
  <c r="O19" i="94"/>
  <c r="N94" i="56"/>
  <c r="G61" i="50"/>
  <c r="N65" i="67"/>
  <c r="F40" i="56"/>
  <c r="H95" i="93"/>
  <c r="H51" i="29"/>
  <c r="F30" i="40"/>
  <c r="E58" i="35"/>
  <c r="G37" i="44"/>
  <c r="N95" i="78"/>
  <c r="G29" i="74"/>
  <c r="E91" i="81"/>
  <c r="E92" i="90"/>
  <c r="L24" i="43"/>
  <c r="I77" i="29"/>
  <c r="G23" i="73"/>
  <c r="N13" i="58"/>
  <c r="I23" i="66"/>
  <c r="O14" i="82"/>
  <c r="G101" i="50"/>
  <c r="E20" i="69"/>
  <c r="M33" i="34"/>
  <c r="O11" i="29"/>
  <c r="K13" i="61"/>
  <c r="E107" i="52"/>
  <c r="E97" i="87"/>
  <c r="G46" i="81"/>
  <c r="CG81" i="3"/>
  <c r="N80" i="41"/>
  <c r="I12" i="85"/>
  <c r="O7" i="70"/>
  <c r="L98" i="80"/>
  <c r="O32" i="78"/>
  <c r="F83" i="61"/>
  <c r="O47" i="35"/>
  <c r="O32" i="61"/>
  <c r="E92" i="53"/>
  <c r="E83" i="59"/>
  <c r="I14" i="63"/>
  <c r="F77" i="77"/>
  <c r="J19" i="48"/>
  <c r="E14" i="86"/>
  <c r="K39" i="32"/>
  <c r="H40" i="86"/>
  <c r="N56" i="30"/>
  <c r="K10" i="84"/>
  <c r="J42" i="53"/>
  <c r="M4" i="83"/>
  <c r="D19" i="77"/>
  <c r="J34" i="47"/>
  <c r="K10" i="19"/>
  <c r="D34" i="67"/>
  <c r="H10" i="36"/>
  <c r="H77" i="46"/>
  <c r="L25" i="30"/>
  <c r="D11" i="72"/>
  <c r="E31" i="73"/>
  <c r="E100" i="74"/>
  <c r="M95" i="51"/>
  <c r="E91" i="75"/>
  <c r="J62" i="63"/>
  <c r="H30" i="66"/>
  <c r="M98" i="19"/>
  <c r="N103" i="76"/>
  <c r="E29" i="72"/>
  <c r="M97" i="74"/>
  <c r="O55" i="58"/>
  <c r="O57" i="47"/>
  <c r="G47"/>
  <c r="K77" i="51"/>
  <c r="M13" i="34"/>
  <c r="O73" i="57"/>
  <c r="M54" i="53"/>
  <c r="E23" i="34"/>
  <c r="E107" i="76"/>
  <c r="O20" i="53"/>
  <c r="E46" i="73"/>
  <c r="M53" i="32"/>
  <c r="O61" i="40"/>
  <c r="N67" i="62"/>
  <c r="K45" i="60"/>
  <c r="J86" i="39"/>
  <c r="M89" i="46"/>
  <c r="F20" i="60"/>
  <c r="F45" i="73"/>
  <c r="M7" i="32"/>
  <c r="G36" i="91"/>
  <c r="F5" i="38"/>
  <c r="G49" i="49"/>
  <c r="O35" i="36"/>
  <c r="J49" i="92"/>
  <c r="D42" i="86"/>
  <c r="K95" i="64"/>
  <c r="L98" i="61"/>
  <c r="O51" i="32"/>
  <c r="H26" i="64"/>
  <c r="F25" i="83"/>
  <c r="K34" i="84"/>
  <c r="F100" i="53"/>
  <c r="J37" i="44"/>
  <c r="L28" i="57"/>
  <c r="G4" i="90"/>
  <c r="M92" i="47"/>
  <c r="I11" i="51"/>
  <c r="F44" i="57"/>
  <c r="J80" i="70"/>
  <c r="D57" i="35"/>
  <c r="G8" i="81"/>
  <c r="G41" i="89"/>
  <c r="H51" i="78"/>
  <c r="I83" i="19"/>
  <c r="G59" i="93"/>
  <c r="K73" i="69"/>
  <c r="I22" i="54"/>
  <c r="K34" i="34"/>
  <c r="H89" i="56"/>
  <c r="L46" i="94"/>
  <c r="K55" i="29"/>
  <c r="J32" i="82"/>
  <c r="G17" i="38"/>
  <c r="N39" i="72"/>
  <c r="F86" i="50"/>
  <c r="O6" i="32"/>
  <c r="N50" i="86"/>
  <c r="N14" i="84"/>
  <c r="J68" i="34"/>
  <c r="M12" i="53"/>
  <c r="O14" i="81"/>
  <c r="J104" i="86"/>
  <c r="K77" i="26"/>
  <c r="G61"/>
  <c r="N71" i="47"/>
  <c r="G5" i="45"/>
  <c r="H43" i="86"/>
  <c r="M82" i="38"/>
  <c r="F100" i="62"/>
  <c r="I18" i="92"/>
  <c r="H42" i="38"/>
  <c r="M47" i="62"/>
  <c r="F57" i="84"/>
  <c r="D98" i="44"/>
  <c r="F29" i="71"/>
  <c r="F83" i="27"/>
  <c r="I9"/>
  <c r="D56" i="69"/>
  <c r="N6" i="34"/>
  <c r="N24" i="58"/>
  <c r="G29" i="63"/>
  <c r="J49" i="33"/>
  <c r="I42" i="47"/>
  <c r="F57" i="33"/>
  <c r="N74" i="51"/>
  <c r="D14" i="67"/>
  <c r="D38" i="22"/>
  <c r="D57" i="71"/>
  <c r="E94" i="26"/>
  <c r="H20" i="55"/>
  <c r="K44" i="41"/>
  <c r="E35" i="79"/>
  <c r="D54" i="90"/>
  <c r="M42" i="63"/>
  <c r="F11" i="72"/>
  <c r="O54" i="54"/>
  <c r="F59" i="44"/>
  <c r="M71" i="73"/>
  <c r="M10" i="82"/>
  <c r="E83" i="40"/>
  <c r="E103" i="58"/>
  <c r="G86" i="63"/>
  <c r="J13" i="38"/>
  <c r="H107" i="92"/>
  <c r="H44" i="82"/>
  <c r="M41" i="61"/>
  <c r="E10" i="26"/>
  <c r="D43" i="27"/>
  <c r="E31" i="19"/>
  <c r="M35" i="80"/>
  <c r="G4" i="86"/>
  <c r="K86" i="67"/>
  <c r="D45" i="39"/>
  <c r="K56" i="84"/>
  <c r="D89" i="55"/>
  <c r="N37" i="43"/>
  <c r="J106" i="80"/>
  <c r="I4" i="43"/>
  <c r="K85" i="71"/>
  <c r="F8" i="48"/>
  <c r="E28" i="67"/>
  <c r="E68" i="36"/>
  <c r="I24" i="45"/>
  <c r="N38" i="66"/>
  <c r="D54" i="47"/>
  <c r="G65" i="19"/>
  <c r="D65" i="48"/>
  <c r="I18" i="30"/>
  <c r="O83" i="38"/>
  <c r="L10" i="56"/>
  <c r="L98" i="90"/>
  <c r="N21" i="77"/>
  <c r="D17" i="29"/>
  <c r="N24" i="39"/>
  <c r="F40" i="47"/>
  <c r="D39" i="72"/>
  <c r="M59" i="39"/>
  <c r="O107" i="70"/>
  <c r="J97" i="73"/>
  <c r="D71" i="78"/>
  <c r="H47" i="43"/>
  <c r="J26" i="49"/>
  <c r="K49" i="93"/>
  <c r="M29" i="54"/>
  <c r="M64" i="38"/>
  <c r="I38" i="92"/>
  <c r="M14" i="34"/>
  <c r="I6" i="39"/>
  <c r="O49" i="72"/>
  <c r="E103" i="43"/>
  <c r="K65" i="39"/>
  <c r="J25"/>
  <c r="D24" i="29"/>
  <c r="M24" i="84"/>
  <c r="I82" i="91"/>
  <c r="G12" i="33"/>
  <c r="G94" i="78"/>
  <c r="O91" i="60"/>
  <c r="M59" i="74"/>
  <c r="L50" i="40"/>
  <c r="K88" i="54"/>
  <c r="K94" i="58"/>
  <c r="G52" i="86"/>
  <c r="H27" i="54"/>
  <c r="O29" i="74"/>
  <c r="H14" i="49"/>
  <c r="E10" i="73"/>
  <c r="K98" i="94"/>
  <c r="N54" i="39"/>
  <c r="H47" i="67"/>
  <c r="L77" i="78"/>
  <c r="N34" i="87"/>
  <c r="K53" i="80"/>
  <c r="D20" i="33"/>
  <c r="F22" i="48"/>
  <c r="M11" i="71"/>
  <c r="N48" i="60"/>
  <c r="G26" i="76"/>
  <c r="N34" i="39"/>
  <c r="K57" i="61"/>
  <c r="I104" i="42"/>
  <c r="G58" i="91"/>
  <c r="K10" i="80"/>
  <c r="L4" i="65"/>
  <c r="F14" i="62"/>
  <c r="H92" i="65"/>
  <c r="E32" i="38"/>
  <c r="I45" i="90"/>
  <c r="H57" i="74"/>
  <c r="H24" i="39"/>
  <c r="D67" i="81"/>
  <c r="L54" i="76"/>
  <c r="D16" i="62"/>
  <c r="L47" i="49"/>
  <c r="G13" i="58"/>
  <c r="H73" i="87"/>
  <c r="N68" i="41"/>
  <c r="H86" i="79"/>
  <c r="O36" i="58"/>
  <c r="D77" i="72"/>
  <c r="O38" i="77"/>
  <c r="O91" i="64"/>
  <c r="E56" i="89"/>
  <c r="E107" i="45"/>
  <c r="M6" i="72"/>
  <c r="L55" i="94"/>
  <c r="I100" i="27"/>
  <c r="E33" i="44"/>
  <c r="D97" i="46"/>
  <c r="D79"/>
  <c r="O11" i="43"/>
  <c r="J20" i="76"/>
  <c r="H4" i="85"/>
  <c r="I80" i="68"/>
  <c r="G106" i="32"/>
  <c r="G45" i="51"/>
  <c r="H47" i="61"/>
  <c r="J30" i="65"/>
  <c r="G35" i="93"/>
  <c r="H68" i="44"/>
  <c r="I98" i="69"/>
  <c r="H71" i="89"/>
  <c r="O42" i="60"/>
  <c r="F15" i="59"/>
  <c r="K51" i="60"/>
  <c r="N65" i="94"/>
  <c r="J17" i="35"/>
  <c r="M104" i="27"/>
  <c r="L40" i="46"/>
  <c r="D46" i="43"/>
  <c r="L27" i="58"/>
  <c r="I83" i="92"/>
  <c r="O80" i="35"/>
  <c r="H32" i="44"/>
  <c r="J89" i="58"/>
  <c r="D31" i="29"/>
  <c r="D91" i="44"/>
  <c r="K29" i="26"/>
  <c r="H68" i="55"/>
  <c r="J77" i="47"/>
  <c r="L41" i="29"/>
  <c r="L35" i="65"/>
  <c r="I80" i="91"/>
  <c r="D46" i="84"/>
  <c r="N34" i="59"/>
  <c r="O22" i="46"/>
  <c r="O38" i="36"/>
  <c r="M31" i="58"/>
  <c r="J41" i="45"/>
  <c r="J97" i="51"/>
  <c r="N19" i="94"/>
  <c r="I100" i="58"/>
  <c r="L41" i="69"/>
  <c r="J29" i="90"/>
  <c r="F49" i="39"/>
  <c r="N16" i="69"/>
  <c r="E53" i="89"/>
  <c r="N44" i="70"/>
  <c r="I4" i="84"/>
  <c r="L64" i="94"/>
  <c r="I19" i="82"/>
  <c r="K5" i="68"/>
  <c r="F92" i="52"/>
  <c r="D80" i="49"/>
  <c r="G68" i="36"/>
  <c r="G30" i="53"/>
  <c r="O46" i="68"/>
  <c r="G24" i="32"/>
  <c r="L65" i="82"/>
  <c r="O4" i="73"/>
  <c r="I28" i="82"/>
  <c r="F82" i="86"/>
  <c r="L82" i="76"/>
  <c r="I44" i="60"/>
  <c r="D101" i="72"/>
  <c r="H76" i="52"/>
  <c r="F58" i="72"/>
  <c r="D16" i="93"/>
  <c r="M48" i="91"/>
  <c r="O89" i="72"/>
  <c r="O68" i="63"/>
  <c r="F54" i="83"/>
  <c r="N32" i="67"/>
  <c r="I27" i="77"/>
  <c r="E43" i="74"/>
  <c r="E45" i="59"/>
  <c r="G104" i="41"/>
  <c r="G104" i="29"/>
  <c r="H27"/>
  <c r="H55" i="65"/>
  <c r="E11" i="43"/>
  <c r="D32" i="50"/>
  <c r="F83" i="80"/>
  <c r="L55" i="67"/>
  <c r="N55" i="36"/>
  <c r="D71" i="43"/>
  <c r="L73" i="81"/>
  <c r="K57" i="84"/>
  <c r="F52" i="54"/>
  <c r="D42" i="32"/>
  <c r="L101" i="78"/>
  <c r="E85" i="40"/>
  <c r="K20"/>
  <c r="H106" i="49"/>
  <c r="D29" i="34"/>
  <c r="E64" i="47"/>
  <c r="K13" i="67"/>
  <c r="G61" i="93"/>
  <c r="K11" i="29"/>
  <c r="M88" i="70"/>
  <c r="K34" i="63"/>
  <c r="D58" i="38"/>
  <c r="L53" i="32"/>
  <c r="N54" i="53"/>
  <c r="D71" i="66"/>
  <c r="D45" i="92"/>
  <c r="N91" i="41"/>
  <c r="N76" i="38"/>
  <c r="D24" i="74"/>
  <c r="H73" i="63"/>
  <c r="K88" i="35"/>
  <c r="I83" i="50"/>
  <c r="L83" i="40"/>
  <c r="G9" i="29"/>
  <c r="G45" i="30"/>
  <c r="N98" i="66"/>
  <c r="E12" i="87"/>
  <c r="K11" i="57"/>
  <c r="K82" i="60"/>
  <c r="M55" i="94"/>
  <c r="J6" i="34"/>
  <c r="G88" i="25"/>
  <c r="E58" i="36"/>
  <c r="G47" i="85"/>
  <c r="D57" i="56"/>
  <c r="D40" i="90"/>
  <c r="D10" i="43"/>
  <c r="G13" i="39"/>
  <c r="K29" i="76"/>
  <c r="L58" i="62"/>
  <c r="N97" i="30"/>
  <c r="I70" i="53"/>
  <c r="L37" i="87"/>
  <c r="E42" i="69"/>
  <c r="H30" i="63"/>
  <c r="F48" i="57"/>
  <c r="L95" i="72"/>
  <c r="H67" i="87"/>
  <c r="M15" i="89"/>
  <c r="M91" i="91"/>
  <c r="N23" i="94"/>
  <c r="I62" i="78"/>
  <c r="M23" i="87"/>
  <c r="L22" i="77"/>
  <c r="E45" i="76"/>
  <c r="I15" i="83"/>
  <c r="H8" i="45"/>
  <c r="I82" i="30"/>
  <c r="D57" i="26"/>
  <c r="D6" i="94"/>
  <c r="H67" i="56"/>
  <c r="O86" i="26"/>
  <c r="K26" i="63"/>
  <c r="H13" i="57"/>
  <c r="H71" i="84"/>
  <c r="J29" i="91"/>
  <c r="I92" i="51"/>
  <c r="J83" i="81"/>
  <c r="CD27" i="3"/>
  <c r="O101" i="26"/>
  <c r="O32" i="54"/>
  <c r="N37" i="60"/>
  <c r="I62" i="87"/>
  <c r="K98" i="83"/>
  <c r="L58" i="53"/>
  <c r="H76" i="40"/>
  <c r="L56" i="38"/>
  <c r="O31" i="82"/>
  <c r="H97" i="72"/>
  <c r="M27" i="19"/>
  <c r="O85" i="84"/>
  <c r="H101" i="82"/>
  <c r="D19" i="40"/>
  <c r="D55"/>
  <c r="L38" i="58"/>
  <c r="G94" i="91"/>
  <c r="E6" i="61"/>
  <c r="E9" i="83"/>
  <c r="J73" i="19"/>
  <c r="F44" i="53"/>
  <c r="I17" i="50"/>
  <c r="D55" i="83"/>
  <c r="F80" i="49"/>
  <c r="F97" i="40"/>
  <c r="G86" i="41"/>
  <c r="K73" i="70"/>
  <c r="H53" i="55"/>
  <c r="J91" i="94"/>
  <c r="H85" i="61"/>
  <c r="G107" i="34"/>
  <c r="I23" i="52"/>
  <c r="J86" i="79"/>
  <c r="N82" i="26"/>
  <c r="L14" i="94"/>
  <c r="M92" i="67"/>
  <c r="F23" i="74"/>
  <c r="G20" i="92"/>
  <c r="N106" i="84"/>
  <c r="F47" i="69"/>
  <c r="E89" i="48"/>
  <c r="H7" i="78"/>
  <c r="H39" i="35"/>
  <c r="O52" i="82"/>
  <c r="M86" i="29"/>
  <c r="M79" i="69"/>
  <c r="F45" i="47"/>
  <c r="O35" i="26"/>
  <c r="D73" i="52"/>
  <c r="O8" i="43"/>
  <c r="O73" i="26"/>
  <c r="I67" i="59"/>
  <c r="L11" i="53"/>
  <c r="K68" i="67"/>
  <c r="D68" i="59"/>
  <c r="O97" i="84"/>
  <c r="N79" i="41"/>
  <c r="O91" i="61"/>
  <c r="D20" i="83"/>
  <c r="I10" i="42"/>
  <c r="G7" i="47"/>
  <c r="J51" i="82"/>
  <c r="M52"/>
  <c r="G92" i="38"/>
  <c r="M92" i="36"/>
  <c r="F88" i="39"/>
  <c r="N32" i="94"/>
  <c r="E79" i="60"/>
  <c r="K9" i="78"/>
  <c r="F85" i="41"/>
  <c r="O73" i="58"/>
  <c r="O98" i="60"/>
  <c r="K12" i="49"/>
  <c r="E16" i="67"/>
  <c r="E9" i="68"/>
  <c r="L4" i="81"/>
  <c r="G103" i="35"/>
  <c r="J85" i="49"/>
  <c r="N55" i="55"/>
  <c r="N57" i="47"/>
  <c r="N59" i="89"/>
  <c r="D77" i="27"/>
  <c r="N71" i="56"/>
  <c r="J37" i="40"/>
  <c r="I58" i="54"/>
  <c r="D14" i="77"/>
  <c r="F83" i="63"/>
  <c r="D10" i="86"/>
  <c r="M91" i="47"/>
  <c r="H83" i="86"/>
  <c r="F52" i="94"/>
  <c r="N10" i="92"/>
  <c r="G39" i="46"/>
  <c r="D94" i="94"/>
  <c r="O74" i="32"/>
  <c r="O98" i="94"/>
  <c r="O92" i="53"/>
  <c r="I52" i="56"/>
  <c r="N95" i="41"/>
  <c r="O6" i="84"/>
  <c r="I73" i="40"/>
  <c r="E101" i="89"/>
  <c r="F44" i="86"/>
  <c r="F29" i="26"/>
  <c r="I95" i="72"/>
  <c r="J104" i="56"/>
  <c r="D38" i="90"/>
  <c r="K22" i="29"/>
  <c r="L28" i="30"/>
  <c r="G29" i="38"/>
  <c r="I71" i="47"/>
  <c r="D35" i="33"/>
  <c r="M39" i="36"/>
  <c r="F76" i="32"/>
  <c r="O74" i="25"/>
  <c r="J40" i="77"/>
  <c r="H39" i="62"/>
  <c r="K62" i="71"/>
  <c r="N53" i="63"/>
  <c r="F103" i="85"/>
  <c r="K83" i="33"/>
  <c r="F16" i="62"/>
  <c r="F70" i="73"/>
  <c r="E54" i="83"/>
  <c r="M88" i="54"/>
  <c r="H31" i="74"/>
  <c r="G34" i="51"/>
  <c r="L57" i="77"/>
  <c r="H22" i="66"/>
  <c r="N36" i="33"/>
  <c r="I106" i="58"/>
  <c r="O52" i="71"/>
  <c r="N89" i="64"/>
  <c r="L47" i="73"/>
  <c r="O6" i="36"/>
  <c r="O14" i="92"/>
  <c r="L59" i="63"/>
  <c r="K20" i="48"/>
  <c r="J70" i="45"/>
  <c r="D8" i="94"/>
  <c r="E104" i="71"/>
  <c r="F88" i="34"/>
  <c r="K6" i="71"/>
  <c r="I19" i="62"/>
  <c r="N6" i="19"/>
  <c r="J21" i="56"/>
  <c r="I62" i="64"/>
  <c r="N17" i="72"/>
  <c r="H95" i="67"/>
  <c r="K106" i="26"/>
  <c r="G67" i="82"/>
  <c r="D35" i="48"/>
  <c r="F52" i="43"/>
  <c r="E80" i="89"/>
  <c r="E74" i="76"/>
  <c r="D83" i="63"/>
  <c r="N33" i="43"/>
  <c r="G20" i="72"/>
  <c r="D101" i="94"/>
  <c r="H70" i="45"/>
  <c r="L25" i="38"/>
  <c r="K12" i="39"/>
  <c r="D50" i="71"/>
  <c r="G13" i="87"/>
  <c r="J88" i="25"/>
  <c r="K79" i="44"/>
  <c r="H68" i="49"/>
  <c r="J76" i="41"/>
  <c r="J106" i="35"/>
  <c r="E80" i="56"/>
  <c r="L77" i="34"/>
  <c r="L5" i="51"/>
  <c r="D64" i="76"/>
  <c r="E79" i="87"/>
  <c r="M37" i="89"/>
  <c r="L54" i="58"/>
  <c r="I85" i="78"/>
  <c r="K50" i="45"/>
  <c r="E86" i="64"/>
  <c r="H103" i="60"/>
  <c r="I20" i="79"/>
  <c r="D43" i="43"/>
  <c r="J41" i="35"/>
  <c r="G44" i="61"/>
  <c r="M79" i="57"/>
  <c r="F13" i="84"/>
  <c r="L9" i="54"/>
  <c r="F76" i="30"/>
  <c r="N28" i="74"/>
  <c r="O24" i="83"/>
  <c r="G16" i="54"/>
  <c r="F49" i="30"/>
  <c r="D8" i="93"/>
  <c r="H86" i="67"/>
  <c r="D55" i="75"/>
  <c r="O28" i="65"/>
  <c r="M26" i="77"/>
  <c r="N88" i="56"/>
  <c r="K53"/>
  <c r="H45"/>
  <c r="F43" i="87"/>
  <c r="M98" i="61"/>
  <c r="M77" i="43"/>
  <c r="I55" i="32"/>
  <c r="H47" i="70"/>
  <c r="D20" i="82"/>
  <c r="K21" i="67"/>
  <c r="I68" i="36"/>
  <c r="H101" i="87"/>
  <c r="L4" i="55"/>
  <c r="N27" i="25"/>
  <c r="F59" i="64"/>
  <c r="L46" i="35"/>
  <c r="D77" i="66"/>
  <c r="G30"/>
  <c r="D94" i="80"/>
  <c r="K80" i="69"/>
  <c r="H34" i="35"/>
  <c r="K21" i="68"/>
  <c r="N40" i="70"/>
  <c r="K18" i="34"/>
  <c r="E22" i="89"/>
  <c r="O24" i="43"/>
  <c r="H107" i="26"/>
  <c r="O47" i="65"/>
  <c r="L12" i="94"/>
  <c r="O85" i="78"/>
  <c r="F70" i="26"/>
  <c r="D11" i="38"/>
  <c r="G53" i="76"/>
  <c r="F36" i="59"/>
  <c r="E23" i="93"/>
  <c r="I32" i="36"/>
  <c r="N5" i="58"/>
  <c r="O44" i="89"/>
  <c r="M4" i="67"/>
  <c r="G50" i="90"/>
  <c r="D54" i="82"/>
  <c r="F53" i="60"/>
  <c r="G15" i="84"/>
  <c r="I37" i="65"/>
  <c r="M74"/>
  <c r="I7" i="27"/>
  <c r="O31" i="63"/>
  <c r="N106"/>
  <c r="I70" i="73"/>
  <c r="J47" i="33"/>
  <c r="E44" i="19"/>
  <c r="G6" i="27"/>
  <c r="K33" i="47"/>
  <c r="D39" i="65"/>
  <c r="I91"/>
  <c r="K45" i="29"/>
  <c r="G21" i="64"/>
  <c r="G91" i="45"/>
  <c r="J8" i="38"/>
  <c r="M70"/>
  <c r="N97" i="62"/>
  <c r="F61" i="68"/>
  <c r="H38" i="85"/>
  <c r="I34" i="60"/>
  <c r="I56" i="87"/>
  <c r="G92" i="53"/>
  <c r="F37" i="62"/>
  <c r="L19" i="71"/>
  <c r="I101" i="51"/>
  <c r="O27" i="91"/>
  <c r="J12" i="25"/>
  <c r="J7" i="72"/>
  <c r="O86" i="69"/>
  <c r="E50" i="93"/>
  <c r="J62" i="48"/>
  <c r="D14" i="69"/>
  <c r="N67" i="86"/>
  <c r="H41" i="89"/>
  <c r="F43" i="30"/>
  <c r="J74" i="62"/>
  <c r="E27" i="79"/>
  <c r="J88" i="44"/>
  <c r="M80" i="84"/>
  <c r="K28" i="48"/>
  <c r="O8" i="47"/>
  <c r="N83" i="68"/>
  <c r="D106" i="36"/>
  <c r="K17" i="69"/>
  <c r="E26" i="45"/>
  <c r="H39" i="79"/>
  <c r="K100" i="62"/>
  <c r="E46" i="70"/>
  <c r="F5" i="58"/>
  <c r="J7" i="68"/>
  <c r="D58" i="69"/>
  <c r="D26" i="93"/>
  <c r="M98" i="67"/>
  <c r="G68" i="39"/>
  <c r="D88" i="32"/>
  <c r="I61" i="35"/>
  <c r="L54" i="81"/>
  <c r="D21" i="86"/>
  <c r="L68" i="69"/>
  <c r="G85" i="94"/>
  <c r="D35" i="45"/>
  <c r="D39" i="85"/>
  <c r="E30" i="58"/>
  <c r="G39" i="91"/>
  <c r="F59" i="84"/>
  <c r="L77" i="94"/>
  <c r="F48" i="50"/>
  <c r="I16" i="47"/>
  <c r="L48" i="87"/>
  <c r="G62" i="93"/>
  <c r="H24" i="57"/>
  <c r="L29" i="25"/>
  <c r="E40" i="63"/>
  <c r="K11" i="44"/>
  <c r="F61" i="74"/>
  <c r="H30" i="34"/>
  <c r="G83" i="56"/>
  <c r="M103" i="81"/>
  <c r="O8" i="33"/>
  <c r="E4" i="58"/>
  <c r="O68" i="46"/>
  <c r="M10" i="93"/>
  <c r="L53" i="34"/>
  <c r="I4" i="89"/>
  <c r="H33" i="50"/>
  <c r="M37" i="51"/>
  <c r="F77" i="62"/>
  <c r="I43" i="32"/>
  <c r="L94" i="54"/>
  <c r="E43" i="36"/>
  <c r="I47" i="60"/>
  <c r="G98" i="71"/>
  <c r="M37" i="74"/>
  <c r="D16" i="51"/>
  <c r="J36" i="53"/>
  <c r="H73" i="66"/>
  <c r="H34" i="39"/>
  <c r="G28" i="63"/>
  <c r="K38" i="70"/>
  <c r="K25"/>
  <c r="M65" i="86"/>
  <c r="D94" i="45"/>
  <c r="I18" i="54"/>
  <c r="I64" i="29"/>
  <c r="H39" i="85"/>
  <c r="K97" i="40"/>
  <c r="F59" i="50"/>
  <c r="N33" i="94"/>
  <c r="F85" i="51"/>
  <c r="J94" i="84"/>
  <c r="I23" i="19"/>
  <c r="M58" i="36"/>
  <c r="K47" i="45"/>
  <c r="G32" i="86"/>
  <c r="F35" i="49"/>
  <c r="L4" i="63"/>
  <c r="E36" i="49"/>
  <c r="N64" i="72"/>
  <c r="F80" i="89"/>
  <c r="H34" i="49"/>
  <c r="K98" i="43"/>
  <c r="J85" i="40"/>
  <c r="CF68" i="3"/>
  <c r="F82" i="79"/>
  <c r="M9" i="59"/>
  <c r="I29" i="63"/>
  <c r="M19" i="73"/>
  <c r="K101" i="59"/>
  <c r="H33" i="33"/>
  <c r="O104" i="55"/>
  <c r="L51" i="38"/>
  <c r="O40" i="92"/>
  <c r="D50" i="74"/>
  <c r="M31" i="27"/>
  <c r="H64" i="63"/>
  <c r="O101" i="62"/>
  <c r="G100" i="39"/>
  <c r="N52" i="55"/>
  <c r="H45" i="44"/>
  <c r="E95" i="29"/>
  <c r="E65" i="63"/>
  <c r="K86" i="57"/>
  <c r="J19" i="56"/>
  <c r="E58" i="58"/>
  <c r="D89" i="93"/>
  <c r="K70" i="43"/>
  <c r="I70" i="65"/>
  <c r="J16" i="72"/>
  <c r="G6" i="48"/>
  <c r="F65" i="19"/>
  <c r="O39" i="41"/>
  <c r="N91" i="40"/>
  <c r="N49"/>
  <c r="L48" i="65"/>
  <c r="N85" i="63"/>
  <c r="F37" i="92"/>
  <c r="D65" i="66"/>
  <c r="J35" i="40"/>
  <c r="I8" i="49"/>
  <c r="F57" i="43"/>
  <c r="E57" i="51"/>
  <c r="N82" i="91"/>
  <c r="L52" i="26"/>
  <c r="E61" i="92"/>
  <c r="D61" i="45"/>
  <c r="J32" i="43"/>
  <c r="J65" i="40"/>
  <c r="H53" i="51"/>
  <c r="K97" i="27"/>
  <c r="E23" i="38"/>
  <c r="J21" i="81"/>
  <c r="D41" i="53"/>
  <c r="G73" i="68"/>
  <c r="H29" i="69"/>
  <c r="L12" i="89"/>
  <c r="H83" i="33"/>
  <c r="H74" i="90"/>
  <c r="F101" i="27"/>
  <c r="N28" i="81"/>
  <c r="G70" i="76"/>
  <c r="E52" i="81"/>
  <c r="K70" i="78"/>
  <c r="E101" i="80"/>
  <c r="K19" i="29"/>
  <c r="F19" i="35"/>
  <c r="G44" i="65"/>
  <c r="J33" i="27"/>
  <c r="K100" i="60"/>
  <c r="I89" i="71"/>
  <c r="I95" i="60"/>
  <c r="O46" i="43"/>
  <c r="L43" i="93"/>
  <c r="G18" i="34"/>
  <c r="H76" i="50"/>
  <c r="E59" i="82"/>
  <c r="F8" i="43"/>
  <c r="D48" i="76"/>
  <c r="J36" i="83"/>
  <c r="D17" i="19"/>
  <c r="H39" i="84"/>
  <c r="O24" i="73"/>
  <c r="O30" i="43"/>
  <c r="O47" i="48"/>
  <c r="F91" i="42"/>
  <c r="H74" i="71"/>
  <c r="F55" i="60"/>
  <c r="O31" i="43"/>
  <c r="O24" i="55"/>
  <c r="K23" i="59"/>
  <c r="L39" i="44"/>
  <c r="F73" i="30"/>
  <c r="F12" i="76"/>
  <c r="G58" i="52"/>
  <c r="K29" i="33"/>
  <c r="M100" i="46"/>
  <c r="M44" i="73"/>
  <c r="G21" i="74"/>
  <c r="J10" i="44"/>
  <c r="G107" i="92"/>
  <c r="L64" i="70"/>
  <c r="L18" i="32"/>
  <c r="I79" i="44"/>
  <c r="J100" i="36"/>
  <c r="M46" i="68"/>
  <c r="G97" i="58"/>
  <c r="I97" i="59"/>
  <c r="G25" i="79"/>
  <c r="I27" i="29"/>
  <c r="H51" i="70"/>
  <c r="G14" i="39"/>
  <c r="J21" i="66"/>
  <c r="J79" i="61"/>
  <c r="K27" i="47"/>
  <c r="I26" i="41"/>
  <c r="D40" i="25"/>
  <c r="F13" i="64"/>
  <c r="O98" i="78"/>
  <c r="J28" i="67"/>
  <c r="K44" i="83"/>
  <c r="O4" i="72"/>
  <c r="J103" i="70"/>
  <c r="M25" i="46"/>
  <c r="N68" i="73"/>
  <c r="O44" i="76"/>
  <c r="I26" i="64"/>
  <c r="N31" i="25"/>
  <c r="L89" i="61"/>
  <c r="F48" i="55"/>
  <c r="L107" i="36"/>
  <c r="G33" i="53"/>
  <c r="L21" i="93"/>
  <c r="L98" i="63"/>
  <c r="F73" i="93"/>
  <c r="F65" i="34"/>
  <c r="K28" i="61"/>
  <c r="F13" i="77"/>
  <c r="H56" i="59"/>
  <c r="E86" i="29"/>
  <c r="O71" i="74"/>
  <c r="J82" i="84"/>
  <c r="N97" i="77"/>
  <c r="G11" i="61"/>
  <c r="K100" i="59"/>
  <c r="D28" i="47"/>
  <c r="K55" i="77"/>
  <c r="E85" i="30"/>
  <c r="N107" i="80"/>
  <c r="J15" i="82"/>
  <c r="H25" i="25"/>
  <c r="M85" i="70"/>
  <c r="I51" i="82"/>
  <c r="D11" i="69"/>
  <c r="J89" i="50"/>
  <c r="G61" i="36"/>
  <c r="L98" i="51"/>
  <c r="J28" i="50"/>
  <c r="G65" i="45"/>
  <c r="F36" i="63"/>
  <c r="K41" i="58"/>
  <c r="H70" i="19"/>
  <c r="K6" i="89"/>
  <c r="L56" i="26"/>
  <c r="G51" i="77"/>
  <c r="N37" i="71"/>
  <c r="G39" i="83"/>
  <c r="N92" i="81"/>
  <c r="O56" i="40"/>
  <c r="M58" i="73"/>
  <c r="F32" i="75"/>
  <c r="D51" i="19"/>
  <c r="K9" i="67"/>
  <c r="I82" i="59"/>
  <c r="F55" i="36"/>
  <c r="J11" i="46"/>
  <c r="F53" i="54"/>
  <c r="L64" i="89"/>
  <c r="K49" i="74"/>
  <c r="O54" i="86"/>
  <c r="L95" i="41"/>
  <c r="N5" i="51"/>
  <c r="N32" i="70"/>
  <c r="J32" i="27"/>
  <c r="J30" i="67"/>
  <c r="K83" i="84"/>
  <c r="N92" i="62"/>
  <c r="E30" i="63"/>
  <c r="E64" i="45"/>
  <c r="G35" i="56"/>
  <c r="E35" i="86"/>
  <c r="H103" i="30"/>
  <c r="E12" i="49"/>
  <c r="G57" i="91"/>
  <c r="G32" i="69"/>
  <c r="J29" i="27"/>
  <c r="H23" i="64"/>
  <c r="D83" i="93"/>
  <c r="F28" i="49"/>
  <c r="G68" i="92"/>
  <c r="I95" i="53"/>
  <c r="O11" i="48"/>
  <c r="L79" i="33"/>
  <c r="O33" i="36"/>
  <c r="J98" i="90"/>
  <c r="N37" i="40"/>
  <c r="K14" i="94"/>
  <c r="F98" i="71"/>
  <c r="I38" i="25"/>
  <c r="M71" i="33"/>
  <c r="M45" i="83"/>
  <c r="O100" i="78"/>
  <c r="J36" i="30"/>
  <c r="M15" i="38"/>
  <c r="I42" i="76"/>
  <c r="D44" i="74"/>
  <c r="D41" i="48"/>
  <c r="O71" i="44"/>
  <c r="J52" i="74"/>
  <c r="D37" i="81"/>
  <c r="D34" i="53"/>
  <c r="G39" i="19"/>
  <c r="K53" i="44"/>
  <c r="F14" i="27"/>
  <c r="J54" i="62"/>
  <c r="H20" i="49"/>
  <c r="K39" i="60"/>
  <c r="N71" i="82"/>
  <c r="O51" i="67"/>
  <c r="L74" i="89"/>
  <c r="L15" i="67"/>
  <c r="E33" i="45"/>
  <c r="D54" i="32"/>
  <c r="K41" i="27"/>
  <c r="H16" i="35"/>
  <c r="M82" i="29"/>
  <c r="D21" i="35"/>
  <c r="D53" i="84"/>
  <c r="E101" i="82"/>
  <c r="L8" i="39"/>
  <c r="E88" i="34"/>
  <c r="D80" i="47"/>
  <c r="E12" i="92"/>
  <c r="L30"/>
  <c r="O32" i="70"/>
  <c r="G107" i="43"/>
  <c r="N28" i="38"/>
  <c r="I27" i="57"/>
  <c r="E20" i="74"/>
  <c r="K24" i="68"/>
  <c r="L18" i="25"/>
  <c r="E71" i="69"/>
  <c r="H68" i="39"/>
  <c r="J50" i="61"/>
  <c r="F73" i="80"/>
  <c r="E44" i="34"/>
  <c r="D25" i="49"/>
  <c r="L68" i="25"/>
  <c r="D91" i="77"/>
  <c r="G57" i="57"/>
  <c r="E45" i="93"/>
  <c r="I47" i="68"/>
  <c r="E79" i="29"/>
  <c r="H41" i="63"/>
  <c r="H16" i="49"/>
  <c r="N31" i="72"/>
  <c r="L104" i="62"/>
  <c r="E19" i="84"/>
  <c r="E98" i="80"/>
  <c r="D80" i="27"/>
  <c r="E28" i="44"/>
  <c r="D33" i="30"/>
  <c r="L61" i="90"/>
  <c r="J107" i="58"/>
  <c r="N94" i="46"/>
  <c r="E26" i="39"/>
  <c r="H53" i="27"/>
  <c r="K28" i="68"/>
  <c r="F49" i="74"/>
  <c r="E80" i="43"/>
  <c r="N57" i="82"/>
  <c r="J34" i="80"/>
  <c r="D16" i="26"/>
  <c r="G40" i="52"/>
  <c r="I15" i="39"/>
  <c r="H32" i="57"/>
  <c r="L25" i="81"/>
  <c r="L40" i="63"/>
  <c r="M62" i="30"/>
  <c r="K23" i="58"/>
  <c r="E39" i="27"/>
  <c r="F18" i="86"/>
  <c r="M71" i="36"/>
  <c r="L77" i="77"/>
  <c r="N33" i="48"/>
  <c r="N95" i="87"/>
  <c r="O73" i="43"/>
  <c r="E95" i="79"/>
  <c r="M34" i="27"/>
  <c r="M37" i="67"/>
  <c r="L56" i="32"/>
  <c r="M73" i="44"/>
  <c r="O103"/>
  <c r="M4" i="62"/>
  <c r="N29" i="65"/>
  <c r="K29" i="22"/>
  <c r="J41" i="58"/>
  <c r="I61" i="51"/>
  <c r="F51" i="50"/>
  <c r="L25" i="89"/>
  <c r="K44" i="43"/>
  <c r="O21" i="59"/>
  <c r="G82" i="43"/>
  <c r="L94" i="53"/>
  <c r="K33" i="73"/>
  <c r="K83" i="93"/>
  <c r="N32" i="81"/>
  <c r="D41" i="39"/>
  <c r="F97" i="35"/>
  <c r="I27" i="45"/>
  <c r="D68" i="70"/>
  <c r="I65" i="78"/>
  <c r="D9" i="85"/>
  <c r="J50" i="78"/>
  <c r="F52" i="60"/>
  <c r="J22" i="93"/>
  <c r="D15" i="81"/>
  <c r="H88" i="43"/>
  <c r="O98" i="41"/>
  <c r="F70" i="54"/>
  <c r="M103" i="63"/>
  <c r="I33" i="91"/>
  <c r="K50" i="62"/>
  <c r="M23" i="34"/>
  <c r="O59" i="94"/>
  <c r="L52" i="72"/>
  <c r="F50" i="54"/>
  <c r="F70" i="85"/>
  <c r="I91" i="38"/>
  <c r="K92" i="90"/>
  <c r="E16" i="56"/>
  <c r="D34" i="51"/>
  <c r="G92" i="33"/>
  <c r="D97" i="78"/>
  <c r="H30" i="65"/>
  <c r="N8" i="70"/>
  <c r="H95" i="29"/>
  <c r="G91" i="34"/>
  <c r="H25" i="83"/>
  <c r="I21" i="64"/>
  <c r="L76" i="38"/>
  <c r="M18" i="47"/>
  <c r="F34" i="43"/>
  <c r="G18" i="71"/>
  <c r="M101" i="83"/>
  <c r="F41" i="55"/>
  <c r="N100" i="19"/>
  <c r="F107" i="54"/>
  <c r="O101" i="58"/>
  <c r="K17" i="66"/>
  <c r="K29" i="82"/>
  <c r="I56" i="59"/>
  <c r="D22" i="51"/>
  <c r="D54" i="29"/>
  <c r="K26" i="67"/>
  <c r="N64" i="58"/>
  <c r="O91" i="46"/>
  <c r="J12" i="40"/>
  <c r="O19" i="83"/>
  <c r="D38" i="57"/>
  <c r="E85" i="89"/>
  <c r="D43" i="47"/>
  <c r="I52" i="71"/>
  <c r="J38" i="29"/>
  <c r="H58" i="86"/>
  <c r="H92" i="84"/>
  <c r="J26" i="50"/>
  <c r="M34" i="82"/>
  <c r="I33" i="84"/>
  <c r="G95" i="92"/>
  <c r="M88" i="62"/>
  <c r="F52" i="78"/>
  <c r="H65" i="39"/>
  <c r="H85" i="56"/>
  <c r="J43" i="19"/>
  <c r="I62" i="71"/>
  <c r="H71" i="63"/>
  <c r="F27" i="87"/>
  <c r="E39" i="77"/>
  <c r="F21" i="63"/>
  <c r="F62" i="50"/>
  <c r="I52" i="66"/>
  <c r="K19" i="25"/>
  <c r="I32" i="30"/>
  <c r="G25" i="29"/>
  <c r="F4" i="81"/>
  <c r="L37" i="59"/>
  <c r="D38" i="44"/>
  <c r="I74" i="26"/>
  <c r="J74" i="57"/>
  <c r="E26" i="25"/>
  <c r="N89" i="30"/>
  <c r="H8" i="54"/>
  <c r="J5" i="71"/>
  <c r="F12" i="92"/>
  <c r="F67" i="49"/>
  <c r="D70" i="29"/>
  <c r="F57" i="52"/>
  <c r="F7" i="71"/>
  <c r="D104" i="89"/>
  <c r="F50" i="45"/>
  <c r="O40" i="35"/>
  <c r="D52" i="57"/>
  <c r="K40" i="46"/>
  <c r="K62" i="55"/>
  <c r="E49" i="74"/>
  <c r="H56" i="44"/>
  <c r="K47" i="53"/>
  <c r="O94" i="73"/>
  <c r="J59" i="55"/>
  <c r="I6" i="56"/>
  <c r="H46" i="52"/>
  <c r="O41" i="19"/>
  <c r="M48" i="74"/>
  <c r="D48" i="45"/>
  <c r="F104" i="19"/>
  <c r="J65" i="30"/>
  <c r="O32" i="29"/>
  <c r="N52" i="64"/>
  <c r="I39" i="92"/>
  <c r="H8" i="51"/>
  <c r="O94" i="30"/>
  <c r="J51" i="44"/>
  <c r="K88" i="53"/>
  <c r="M104" i="84"/>
  <c r="F8" i="71"/>
  <c r="J79" i="94"/>
  <c r="H7" i="41"/>
  <c r="M106" i="67"/>
  <c r="E34" i="90"/>
  <c r="H89" i="80"/>
  <c r="J52" i="61"/>
  <c r="F58" i="55"/>
  <c r="N53" i="62"/>
  <c r="K98" i="84"/>
  <c r="D85" i="41"/>
  <c r="D34" i="54"/>
  <c r="E74" i="67"/>
  <c r="J62" i="45"/>
  <c r="L77" i="86"/>
  <c r="E49" i="75"/>
  <c r="G70" i="35"/>
  <c r="K51" i="26"/>
  <c r="O77" i="86"/>
  <c r="G51" i="82"/>
  <c r="J56" i="62"/>
  <c r="G10" i="67"/>
  <c r="E10" i="79"/>
  <c r="M49" i="38"/>
  <c r="N9" i="53"/>
  <c r="J36" i="89"/>
  <c r="N40" i="40"/>
  <c r="G106" i="92"/>
  <c r="H100" i="77"/>
  <c r="G41" i="70"/>
  <c r="H91" i="51"/>
  <c r="J12" i="76"/>
  <c r="F53" i="27"/>
  <c r="O12" i="78"/>
  <c r="G103" i="71"/>
  <c r="D49" i="27"/>
  <c r="M76" i="82"/>
  <c r="F8" i="81"/>
  <c r="L80" i="47"/>
  <c r="N80" i="67"/>
  <c r="F34" i="42"/>
  <c r="L94" i="40"/>
  <c r="N17" i="46"/>
  <c r="N46" i="19"/>
  <c r="H89" i="34"/>
  <c r="J47"/>
  <c r="M14" i="78"/>
  <c r="E40" i="84"/>
  <c r="H73" i="41"/>
  <c r="D64" i="47"/>
  <c r="F14" i="78"/>
  <c r="G8" i="47"/>
  <c r="L46" i="86"/>
  <c r="M62" i="93"/>
  <c r="J22" i="47"/>
  <c r="E42" i="43"/>
  <c r="J6" i="26"/>
  <c r="M64" i="25"/>
  <c r="J30"/>
  <c r="M104" i="33"/>
  <c r="L65" i="32"/>
  <c r="I67" i="71"/>
  <c r="E101" i="55"/>
  <c r="D80" i="76"/>
  <c r="D14" i="47"/>
  <c r="J91" i="65"/>
  <c r="M40" i="87"/>
  <c r="N10" i="77"/>
  <c r="F49" i="35"/>
  <c r="O45" i="68"/>
  <c r="G76" i="29"/>
  <c r="M83" i="55"/>
  <c r="M16" i="43"/>
  <c r="J107" i="64"/>
  <c r="K32" i="41"/>
  <c r="CK29" i="3"/>
  <c r="N56" i="51"/>
  <c r="E86" i="69"/>
  <c r="N50" i="35"/>
  <c r="O52" i="53"/>
  <c r="D54" i="49"/>
  <c r="E88" i="56"/>
  <c r="L52" i="53"/>
  <c r="K41" i="86"/>
  <c r="D38" i="92"/>
  <c r="N27" i="83"/>
  <c r="N79" i="60"/>
  <c r="L26" i="61"/>
  <c r="L92" i="78"/>
  <c r="I13" i="87"/>
  <c r="G71" i="64"/>
  <c r="M53" i="78"/>
  <c r="H86" i="90"/>
  <c r="E79" i="69"/>
  <c r="G92" i="89"/>
  <c r="L19" i="53"/>
  <c r="D34" i="48"/>
  <c r="E57" i="75"/>
  <c r="J13" i="55"/>
  <c r="K79" i="34"/>
  <c r="K80" i="19"/>
  <c r="D92" i="45"/>
  <c r="L71" i="89"/>
  <c r="M5" i="29"/>
  <c r="E73" i="66"/>
  <c r="J45" i="73"/>
  <c r="J32"/>
  <c r="J88" i="82"/>
  <c r="E36" i="35"/>
  <c r="J33" i="89"/>
  <c r="E9" i="19"/>
  <c r="I101" i="64"/>
  <c r="J46" i="56"/>
  <c r="J11" i="93"/>
  <c r="I103" i="77"/>
  <c r="L34" i="61"/>
  <c r="I11" i="65"/>
  <c r="D27"/>
  <c r="G47" i="59"/>
  <c r="M47" i="71"/>
  <c r="O51" i="33"/>
  <c r="M23" i="46"/>
  <c r="H16" i="41"/>
  <c r="O91" i="53"/>
  <c r="D53" i="86"/>
  <c r="L33" i="25"/>
  <c r="O49" i="69"/>
  <c r="L49" i="51"/>
  <c r="N13" i="89"/>
  <c r="D34" i="77"/>
  <c r="E97" i="38"/>
  <c r="G14" i="76"/>
  <c r="D8" i="55"/>
  <c r="G101" i="58"/>
  <c r="H83" i="32"/>
  <c r="F31" i="59"/>
  <c r="G98" i="77"/>
  <c r="J57" i="54"/>
  <c r="N4" i="82"/>
  <c r="O100" i="90"/>
  <c r="BK47" i="3"/>
  <c r="E97" i="63"/>
  <c r="E74" i="45"/>
  <c r="I8" i="87"/>
  <c r="D10" i="51"/>
  <c r="H51" i="62"/>
  <c r="I47" i="74"/>
  <c r="H42" i="46"/>
  <c r="O88" i="71"/>
  <c r="G27" i="59"/>
  <c r="F18" i="55"/>
  <c r="K77" i="91"/>
  <c r="I41" i="81"/>
  <c r="G61" i="70"/>
  <c r="O26"/>
  <c r="F107" i="66"/>
  <c r="G18" i="51"/>
  <c r="D44" i="75"/>
  <c r="H23" i="38"/>
  <c r="I20" i="26"/>
  <c r="J26" i="64"/>
  <c r="D7" i="30"/>
  <c r="E79" i="50"/>
  <c r="L31" i="90"/>
  <c r="H44" i="33"/>
  <c r="E25" i="69"/>
  <c r="N42" i="80"/>
  <c r="K85" i="60"/>
  <c r="O59" i="83"/>
  <c r="M20" i="60"/>
  <c r="L55" i="76"/>
  <c r="O76" i="81"/>
  <c r="CI46" i="3"/>
  <c r="K25" i="27"/>
  <c r="N38" i="62"/>
  <c r="J12" i="45"/>
  <c r="G24" i="39"/>
  <c r="F26" i="89"/>
  <c r="K89" i="64"/>
  <c r="H33" i="84"/>
  <c r="D9" i="49"/>
  <c r="K38" i="58"/>
  <c r="L26" i="54"/>
  <c r="D49" i="41"/>
  <c r="G21" i="44"/>
  <c r="D53" i="30"/>
  <c r="M62" i="36"/>
  <c r="G91" i="41"/>
  <c r="O16" i="75"/>
  <c r="N47" i="73"/>
  <c r="M27" i="68"/>
  <c r="O20" i="35"/>
  <c r="L36" i="36"/>
  <c r="J15" i="91"/>
  <c r="N17" i="55"/>
  <c r="I97" i="78"/>
  <c r="M48" i="60"/>
  <c r="O21" i="57"/>
  <c r="N92" i="43"/>
  <c r="L21" i="74"/>
  <c r="H6" i="47"/>
  <c r="H18" i="67"/>
  <c r="O43" i="65"/>
  <c r="M80" i="68"/>
  <c r="D32" i="81"/>
  <c r="G44" i="34"/>
  <c r="D34" i="56"/>
  <c r="I95" i="57"/>
  <c r="J49" i="40"/>
  <c r="F91" i="85"/>
  <c r="L39" i="55"/>
  <c r="H48" i="58"/>
  <c r="E23" i="71"/>
  <c r="E107" i="90"/>
  <c r="D55" i="41"/>
  <c r="D58" i="91"/>
  <c r="M70" i="64"/>
  <c r="E54" i="75"/>
  <c r="F49" i="68"/>
  <c r="O13" i="35"/>
  <c r="G70" i="62"/>
  <c r="M43" i="71"/>
  <c r="D77" i="47"/>
  <c r="G30" i="72"/>
  <c r="D19" i="68"/>
  <c r="O18" i="32"/>
  <c r="K26" i="45"/>
  <c r="H49" i="74"/>
  <c r="O23" i="75"/>
  <c r="E83" i="44"/>
  <c r="I21" i="86"/>
  <c r="I7" i="89"/>
  <c r="I11" i="52"/>
  <c r="M33" i="92"/>
  <c r="I80" i="78"/>
  <c r="J68" i="92"/>
  <c r="J8" i="40"/>
  <c r="J7" i="34"/>
  <c r="G71" i="67"/>
  <c r="L28" i="94"/>
  <c r="D57" i="60"/>
  <c r="K83" i="19"/>
  <c r="J52" i="83"/>
  <c r="J32" i="93"/>
  <c r="J13" i="50"/>
  <c r="N11" i="80"/>
  <c r="H92" i="54"/>
  <c r="J53" i="93"/>
  <c r="J11" i="39"/>
  <c r="O6" i="65"/>
  <c r="K53" i="40"/>
  <c r="K38" i="54"/>
  <c r="H46" i="26"/>
  <c r="H6" i="35"/>
  <c r="G58" i="93"/>
  <c r="E77" i="49"/>
  <c r="F27" i="79"/>
  <c r="H29" i="75"/>
  <c r="L9" i="39"/>
  <c r="O33" i="92"/>
  <c r="D50" i="50"/>
  <c r="F48" i="44"/>
  <c r="E64" i="65"/>
  <c r="J4" i="72"/>
  <c r="L58" i="86"/>
  <c r="J85" i="76"/>
  <c r="E24" i="40"/>
  <c r="M21" i="58"/>
  <c r="I79" i="38"/>
  <c r="D106" i="68"/>
  <c r="O59" i="66"/>
  <c r="M22" i="56"/>
  <c r="O62" i="83"/>
  <c r="N10" i="64"/>
  <c r="F20" i="49"/>
  <c r="M37" i="94"/>
  <c r="L13" i="44"/>
  <c r="F83" i="79"/>
  <c r="F74" i="26"/>
  <c r="H36" i="87"/>
  <c r="J7" i="65"/>
  <c r="J10" i="36"/>
  <c r="G19" i="90"/>
  <c r="D31" i="57"/>
  <c r="H10" i="78"/>
  <c r="G57" i="27"/>
  <c r="I97" i="81"/>
  <c r="O50" i="76"/>
  <c r="M7" i="63"/>
  <c r="M62" i="94"/>
  <c r="L13" i="59"/>
  <c r="K22" i="46"/>
  <c r="J49" i="67"/>
  <c r="G76" i="91"/>
  <c r="O23" i="66"/>
  <c r="M38" i="45"/>
  <c r="O40" i="68"/>
  <c r="L31" i="75"/>
  <c r="H57" i="19"/>
  <c r="M61" i="93"/>
  <c r="K74" i="27"/>
  <c r="N4" i="71"/>
  <c r="O47" i="94"/>
  <c r="J79" i="54"/>
  <c r="G56" i="25"/>
  <c r="D38" i="82"/>
  <c r="O32" i="63"/>
  <c r="J13" i="44"/>
  <c r="F24" i="61"/>
  <c r="M10" i="51"/>
  <c r="D100" i="71"/>
  <c r="K50" i="54"/>
  <c r="M48" i="49"/>
  <c r="H35" i="69"/>
  <c r="L76" i="35"/>
  <c r="F91" i="91"/>
  <c r="I33" i="29"/>
  <c r="K42" i="65"/>
  <c r="L33" i="38"/>
  <c r="J16" i="81"/>
  <c r="G18" i="87"/>
  <c r="E50" i="81"/>
  <c r="M39" i="38"/>
  <c r="K6" i="59"/>
  <c r="M50" i="43"/>
  <c r="E9" i="58"/>
  <c r="K57" i="72"/>
  <c r="H7" i="54"/>
  <c r="F55" i="19"/>
  <c r="K70" i="93"/>
  <c r="O34" i="57"/>
  <c r="I89" i="58"/>
  <c r="I53" i="30"/>
  <c r="O92" i="41"/>
  <c r="F68" i="72"/>
  <c r="L46" i="77"/>
  <c r="D68" i="39"/>
  <c r="F12" i="90"/>
  <c r="F29" i="86"/>
  <c r="H55" i="45"/>
  <c r="O10" i="87"/>
  <c r="I24" i="53"/>
  <c r="G26" i="58"/>
  <c r="H41" i="79"/>
  <c r="M98" i="62"/>
  <c r="G10" i="68"/>
  <c r="N77" i="83"/>
  <c r="L64" i="86"/>
  <c r="H16" i="19"/>
  <c r="D88" i="30"/>
  <c r="E8" i="84"/>
  <c r="N16" i="48"/>
  <c r="H47" i="64"/>
  <c r="D95" i="81"/>
  <c r="I88" i="29"/>
  <c r="N30" i="32"/>
  <c r="G106" i="25"/>
  <c r="O62" i="36"/>
  <c r="N88" i="41"/>
  <c r="M71" i="61"/>
  <c r="J41" i="26"/>
  <c r="M54" i="72"/>
  <c r="G76" i="56"/>
  <c r="L26" i="33"/>
  <c r="G16" i="51"/>
  <c r="F20" i="75"/>
  <c r="G35" i="47"/>
  <c r="M56" i="29"/>
  <c r="L42" i="63"/>
  <c r="K62" i="91"/>
  <c r="F11" i="81"/>
  <c r="I35" i="50"/>
  <c r="H55" i="39"/>
  <c r="M55" i="64"/>
  <c r="M106" i="47"/>
  <c r="D31" i="84"/>
  <c r="F22" i="59"/>
  <c r="E26" i="90"/>
  <c r="L5" i="33"/>
  <c r="D18" i="49"/>
  <c r="G4" i="93"/>
  <c r="D49" i="57"/>
  <c r="E26" i="82"/>
  <c r="H83" i="52"/>
  <c r="K49" i="58"/>
  <c r="L74" i="62"/>
  <c r="M35" i="61"/>
  <c r="O57" i="44"/>
  <c r="O76" i="65"/>
  <c r="H34" i="55"/>
  <c r="G68" i="59"/>
  <c r="K71" i="87"/>
  <c r="D36" i="54"/>
  <c r="D48" i="53"/>
  <c r="F21" i="81"/>
  <c r="I65" i="90"/>
  <c r="K58" i="35"/>
  <c r="G65" i="94"/>
  <c r="O36" i="74"/>
  <c r="F97" i="51"/>
  <c r="E64" i="67"/>
  <c r="G92" i="76"/>
  <c r="I21" i="34"/>
  <c r="E40" i="59"/>
  <c r="M17" i="93"/>
  <c r="I14"/>
  <c r="H62" i="44"/>
  <c r="D33" i="55"/>
  <c r="F100" i="39"/>
  <c r="D7" i="63"/>
  <c r="I95" i="30"/>
  <c r="F49" i="82"/>
  <c r="F86" i="36"/>
  <c r="N61" i="76"/>
  <c r="O88" i="47"/>
  <c r="O19" i="87"/>
  <c r="F57" i="47"/>
  <c r="G19" i="57"/>
  <c r="D9" i="41"/>
  <c r="H40" i="66"/>
  <c r="D89" i="40"/>
  <c r="I25" i="29"/>
  <c r="N38" i="78"/>
  <c r="F14" i="92"/>
  <c r="M85" i="35"/>
  <c r="D80" i="69"/>
  <c r="I36"/>
  <c r="E26" i="54"/>
  <c r="H65" i="67"/>
  <c r="D56" i="64"/>
  <c r="CE69" i="3"/>
  <c r="M52" i="45"/>
  <c r="D32" i="75"/>
  <c r="M11" i="82"/>
  <c r="F73" i="48"/>
  <c r="F91" i="82"/>
  <c r="E67" i="52"/>
  <c r="K107" i="73"/>
  <c r="L64" i="53"/>
  <c r="L46" i="54"/>
  <c r="L53" i="82"/>
  <c r="O64" i="78"/>
  <c r="F64" i="54"/>
  <c r="F46" i="19"/>
  <c r="I95" i="59"/>
  <c r="O80" i="27"/>
  <c r="D68" i="76"/>
  <c r="E46" i="58"/>
  <c r="M83" i="69"/>
  <c r="O57" i="64"/>
  <c r="L82" i="51"/>
  <c r="N20" i="72"/>
  <c r="F45" i="76"/>
  <c r="I67" i="27"/>
  <c r="D16" i="94"/>
  <c r="K13" i="70"/>
  <c r="E29" i="43"/>
  <c r="N36" i="76"/>
  <c r="H79" i="33"/>
  <c r="K73" i="83"/>
  <c r="J9" i="64"/>
  <c r="O36" i="91"/>
  <c r="F12" i="54"/>
  <c r="I16" i="40"/>
  <c r="J59" i="63"/>
  <c r="H76" i="93"/>
  <c r="G7" i="70"/>
  <c r="D47" i="92"/>
  <c r="I67" i="51"/>
  <c r="L70" i="63"/>
  <c r="L85" i="34"/>
  <c r="I83" i="81"/>
  <c r="I100" i="25"/>
  <c r="F76" i="65"/>
  <c r="N33" i="64"/>
  <c r="O89" i="54"/>
  <c r="L18" i="94"/>
  <c r="H6" i="56"/>
  <c r="D70" i="58"/>
  <c r="E88" i="71"/>
  <c r="D7" i="44"/>
  <c r="D62" i="46"/>
  <c r="J58" i="35"/>
  <c r="D86" i="77"/>
  <c r="H68" i="41"/>
  <c r="I34" i="43"/>
  <c r="O34" i="60"/>
  <c r="L73" i="32"/>
  <c r="H25" i="65"/>
  <c r="G14" i="87"/>
  <c r="J61" i="55"/>
  <c r="M28" i="76"/>
  <c r="I100" i="40"/>
  <c r="F59" i="52"/>
  <c r="J22" i="68"/>
  <c r="G33" i="70"/>
  <c r="D65" i="76"/>
  <c r="I52" i="51"/>
  <c r="F94" i="89"/>
  <c r="F89" i="82"/>
  <c r="G106" i="91"/>
  <c r="I17" i="35"/>
  <c r="F59" i="38"/>
  <c r="I36" i="60"/>
  <c r="M47" i="67"/>
  <c r="K100" i="46"/>
  <c r="O49" i="60"/>
  <c r="G33" i="39"/>
  <c r="F42" i="90"/>
  <c r="L14" i="33"/>
  <c r="L100" i="91"/>
  <c r="O68" i="86"/>
  <c r="I19" i="49"/>
  <c r="D91" i="48"/>
  <c r="D35" i="19"/>
  <c r="I31" i="49"/>
  <c r="M28" i="60"/>
  <c r="D85" i="34"/>
  <c r="L59" i="78"/>
  <c r="I14" i="58"/>
  <c r="K54" i="46"/>
  <c r="H47" i="62"/>
  <c r="J82" i="47"/>
  <c r="E4" i="44"/>
  <c r="E14" i="41"/>
  <c r="M48" i="45"/>
  <c r="E40" i="74"/>
  <c r="K97" i="68"/>
  <c r="E48" i="79"/>
  <c r="D24" i="35"/>
  <c r="K17" i="60"/>
  <c r="G7" i="74"/>
  <c r="I43" i="69"/>
  <c r="H68" i="82"/>
  <c r="I24" i="32"/>
  <c r="M11" i="46"/>
  <c r="N7" i="65"/>
  <c r="M68" i="45"/>
  <c r="E62" i="80"/>
  <c r="M71" i="62"/>
  <c r="H26" i="89"/>
  <c r="O5" i="81"/>
  <c r="E20" i="32"/>
  <c r="K76" i="84"/>
  <c r="M56" i="45"/>
  <c r="H35" i="65"/>
  <c r="E92" i="49"/>
  <c r="J42" i="61"/>
  <c r="D50" i="81"/>
  <c r="I23" i="75"/>
  <c r="G103" i="55"/>
  <c r="G104" i="47"/>
  <c r="I16" i="59"/>
  <c r="H98" i="36"/>
  <c r="H5" i="64"/>
  <c r="H25" i="53"/>
  <c r="F57" i="48"/>
  <c r="L42" i="60"/>
  <c r="D8" i="78"/>
  <c r="L79" i="46"/>
  <c r="N65" i="45"/>
  <c r="F35" i="35"/>
  <c r="O86" i="89"/>
  <c r="J57" i="93"/>
  <c r="E24" i="86"/>
  <c r="F36" i="90"/>
  <c r="D35" i="62"/>
  <c r="H11" i="94"/>
  <c r="D70" i="40"/>
  <c r="E23" i="25"/>
  <c r="K59" i="36"/>
  <c r="I74" i="34"/>
  <c r="I97" i="26"/>
  <c r="F17" i="62"/>
  <c r="O107" i="39"/>
  <c r="O86" i="55"/>
  <c r="J42" i="82"/>
  <c r="J33" i="83"/>
  <c r="J74" i="69"/>
  <c r="J45" i="39"/>
  <c r="E67" i="75"/>
  <c r="M7"/>
  <c r="N12" i="64"/>
  <c r="O70" i="77"/>
  <c r="N22" i="86"/>
  <c r="L59" i="71"/>
  <c r="F48" i="73"/>
  <c r="M42" i="67"/>
  <c r="L20" i="46"/>
  <c r="O94" i="44"/>
  <c r="F83" i="33"/>
  <c r="K65" i="54"/>
  <c r="O65" i="77"/>
  <c r="H82" i="66"/>
  <c r="L58" i="68"/>
  <c r="K43" i="56"/>
  <c r="K10" i="29"/>
  <c r="D32" i="86"/>
  <c r="J16" i="51"/>
  <c r="I82" i="60"/>
  <c r="CG73" i="3"/>
  <c r="E21" i="93"/>
  <c r="H21" i="46"/>
  <c r="N38" i="25"/>
  <c r="K95" i="60"/>
  <c r="J14" i="75"/>
  <c r="E97" i="77"/>
  <c r="J51" i="25"/>
  <c r="O100" i="34"/>
  <c r="E26" i="80"/>
  <c r="K24" i="64"/>
  <c r="H15" i="56"/>
  <c r="E8"/>
  <c r="H65" i="34"/>
  <c r="F17" i="67"/>
  <c r="N92" i="73"/>
  <c r="G41" i="75"/>
  <c r="N77" i="48"/>
  <c r="L31" i="86"/>
  <c r="F51" i="51"/>
  <c r="D106" i="65"/>
  <c r="L79" i="64"/>
  <c r="H15" i="68"/>
  <c r="J107" i="60"/>
  <c r="J21" i="32"/>
  <c r="E82" i="68"/>
  <c r="E11" i="76"/>
  <c r="F24" i="25"/>
  <c r="L16" i="93"/>
  <c r="H98" i="42"/>
  <c r="J38" i="59"/>
  <c r="I23" i="77"/>
  <c r="L71" i="44"/>
  <c r="N22" i="25"/>
  <c r="G94" i="19"/>
  <c r="H50" i="87"/>
  <c r="N4" i="73"/>
  <c r="D88" i="26"/>
  <c r="E26" i="70"/>
  <c r="E88" i="19"/>
  <c r="N46" i="43"/>
  <c r="L88" i="35"/>
  <c r="L27" i="32"/>
  <c r="N49" i="89"/>
  <c r="L103" i="38"/>
  <c r="D37" i="60"/>
  <c r="E52" i="25"/>
  <c r="D82" i="69"/>
  <c r="D34" i="36"/>
  <c r="F101" i="41"/>
  <c r="I7" i="94"/>
  <c r="F91" i="65"/>
  <c r="L83" i="41"/>
  <c r="F62" i="57"/>
  <c r="F73" i="81"/>
  <c r="I20" i="40"/>
  <c r="G88" i="90"/>
  <c r="K46" i="38"/>
  <c r="N52" i="58"/>
  <c r="N13" i="27"/>
  <c r="O82" i="41"/>
  <c r="N56" i="69"/>
  <c r="E98" i="75"/>
  <c r="L85" i="68"/>
  <c r="O43" i="30"/>
  <c r="G12" i="67"/>
  <c r="CH81" i="3"/>
  <c r="G11" i="72"/>
  <c r="N27" i="39"/>
  <c r="M21" i="87"/>
  <c r="G101" i="38"/>
  <c r="L51" i="36"/>
  <c r="H61" i="63"/>
  <c r="D86" i="69"/>
  <c r="F56" i="78"/>
  <c r="D77" i="33"/>
  <c r="J32" i="26"/>
  <c r="K91" i="78"/>
  <c r="E26" i="64"/>
  <c r="D29" i="67"/>
  <c r="M62" i="72"/>
  <c r="H34" i="32"/>
  <c r="L42" i="46"/>
  <c r="I33" i="94"/>
  <c r="G94" i="89"/>
  <c r="K59" i="90"/>
  <c r="F30" i="25"/>
  <c r="J86" i="63"/>
  <c r="F70" i="59"/>
  <c r="N48" i="93"/>
  <c r="D74" i="65"/>
  <c r="E40" i="27"/>
  <c r="L70" i="45"/>
  <c r="D13" i="58"/>
  <c r="E91" i="30"/>
  <c r="E45" i="61"/>
  <c r="O40" i="77"/>
  <c r="N85" i="74"/>
  <c r="E52" i="61"/>
  <c r="K44" i="39"/>
  <c r="I44" i="94"/>
  <c r="O77" i="47"/>
  <c r="D61" i="44"/>
  <c r="E27" i="62"/>
  <c r="J104" i="60"/>
  <c r="M49" i="25"/>
  <c r="O31" i="58"/>
  <c r="G53" i="56"/>
  <c r="F103" i="77"/>
  <c r="J58" i="63"/>
  <c r="F94" i="90"/>
  <c r="CI42" i="3"/>
  <c r="I57" i="81"/>
  <c r="K22" i="83"/>
  <c r="O30" i="65"/>
  <c r="O82" i="62"/>
  <c r="M59" i="57"/>
  <c r="I34" i="56"/>
  <c r="G95" i="27"/>
  <c r="M83" i="49"/>
  <c r="L82" i="47"/>
  <c r="N50" i="33"/>
  <c r="O65" i="26"/>
  <c r="M14" i="30"/>
  <c r="K34" i="54"/>
  <c r="K97" i="91"/>
  <c r="H62" i="64"/>
  <c r="H58" i="74"/>
  <c r="J94" i="81"/>
  <c r="N79" i="53"/>
  <c r="D9" i="93"/>
  <c r="F86" i="92"/>
  <c r="F52" i="36"/>
  <c r="G5" i="80"/>
  <c r="K35" i="30"/>
  <c r="L59" i="86"/>
  <c r="L22" i="49"/>
  <c r="E5" i="85"/>
  <c r="E76" i="29"/>
  <c r="D37" i="85"/>
  <c r="F74" i="84"/>
  <c r="F13" i="60"/>
  <c r="L54" i="39"/>
  <c r="M34" i="74"/>
  <c r="H38" i="84"/>
  <c r="N86" i="48"/>
  <c r="H7" i="82"/>
  <c r="O98" i="57"/>
  <c r="N9" i="63"/>
  <c r="H45" i="65"/>
  <c r="D100" i="89"/>
  <c r="I82" i="25"/>
  <c r="J76" i="62"/>
  <c r="E79" i="30"/>
  <c r="M22" i="33"/>
  <c r="M21" i="63"/>
  <c r="E70" i="89"/>
  <c r="D20" i="38"/>
  <c r="E49" i="94"/>
  <c r="K64" i="84"/>
  <c r="N94" i="75"/>
  <c r="O8"/>
  <c r="N13" i="25"/>
  <c r="H76" i="72"/>
  <c r="H74" i="91"/>
  <c r="I85"/>
  <c r="E15" i="25"/>
  <c r="J8" i="39"/>
  <c r="N15" i="40"/>
  <c r="N24" i="68"/>
  <c r="G11" i="63"/>
  <c r="M61" i="80"/>
  <c r="J101" i="67"/>
  <c r="E82" i="25"/>
  <c r="H45" i="45"/>
  <c r="K76" i="39"/>
  <c r="I57" i="68"/>
  <c r="E106" i="70"/>
  <c r="L29" i="90"/>
  <c r="E31" i="72"/>
  <c r="D17" i="66"/>
  <c r="J94" i="83"/>
  <c r="K67" i="69"/>
  <c r="L74" i="71"/>
  <c r="O103" i="61"/>
  <c r="H54" i="59"/>
  <c r="I25" i="43"/>
  <c r="O91" i="55"/>
  <c r="L54" i="83"/>
  <c r="G16" i="19"/>
  <c r="E79" i="93"/>
  <c r="E65" i="43"/>
  <c r="G26" i="85"/>
  <c r="K79" i="40"/>
  <c r="L77" i="74"/>
  <c r="E70" i="49"/>
  <c r="G51" i="51"/>
  <c r="K62" i="46"/>
  <c r="L4" i="93"/>
  <c r="O34" i="29"/>
  <c r="L40" i="38"/>
  <c r="I35" i="51"/>
  <c r="D74" i="19"/>
  <c r="O28" i="56"/>
  <c r="D25" i="29"/>
  <c r="O74" i="30"/>
  <c r="L10" i="94"/>
  <c r="D28" i="58"/>
  <c r="F8" i="34"/>
  <c r="J40" i="61"/>
  <c r="J17" i="78"/>
  <c r="F76" i="87"/>
  <c r="N91" i="73"/>
  <c r="G94" i="49"/>
  <c r="J100" i="91"/>
  <c r="H88" i="45"/>
  <c r="L52" i="93"/>
  <c r="M37" i="36"/>
  <c r="H52" i="55"/>
  <c r="H19" i="64"/>
  <c r="D42" i="26"/>
  <c r="I29" i="64"/>
  <c r="E16" i="43"/>
  <c r="I56" i="92"/>
  <c r="M51" i="26"/>
  <c r="F86" i="39"/>
  <c r="M67" i="74"/>
  <c r="I86" i="79"/>
  <c r="K77" i="77"/>
  <c r="H14" i="82"/>
  <c r="N71" i="32"/>
  <c r="I31" i="78"/>
  <c r="F22" i="74"/>
  <c r="K89" i="61"/>
  <c r="D61" i="38"/>
  <c r="L44" i="27"/>
  <c r="G74" i="83"/>
  <c r="K5" i="77"/>
  <c r="K53" i="75"/>
  <c r="K42" i="25"/>
  <c r="H22" i="44"/>
  <c r="I86" i="73"/>
  <c r="L67" i="25"/>
  <c r="K27" i="49"/>
  <c r="H27" i="84"/>
  <c r="F51" i="29"/>
  <c r="J15" i="76"/>
  <c r="I89" i="41"/>
  <c r="G91" i="55"/>
  <c r="I55" i="94"/>
  <c r="I59" i="30"/>
  <c r="G24" i="76"/>
  <c r="N35" i="75"/>
  <c r="O61" i="44"/>
  <c r="K25" i="78"/>
  <c r="J34" i="83"/>
  <c r="H11" i="29"/>
  <c r="N26" i="75"/>
  <c r="F31" i="19"/>
  <c r="O30" i="72"/>
  <c r="H95" i="89"/>
  <c r="G30" i="62"/>
  <c r="H51" i="43"/>
  <c r="N35" i="70"/>
  <c r="G82" i="66"/>
  <c r="I49" i="52"/>
  <c r="H95" i="44"/>
  <c r="I29" i="94"/>
  <c r="O89" i="64"/>
  <c r="O30" i="68"/>
  <c r="E11" i="78"/>
  <c r="J38" i="65"/>
  <c r="I85" i="94"/>
  <c r="M36" i="74"/>
  <c r="H40" i="93"/>
  <c r="E32" i="29"/>
  <c r="H47" i="73"/>
  <c r="E39" i="66"/>
  <c r="J53" i="91"/>
  <c r="I54" i="54"/>
  <c r="I33" i="83"/>
  <c r="O42" i="51"/>
  <c r="D73" i="65"/>
  <c r="E47" i="79"/>
  <c r="J38" i="46"/>
  <c r="O53" i="60"/>
  <c r="M61" i="30"/>
  <c r="H31" i="87"/>
  <c r="I25" i="35"/>
  <c r="F71" i="75"/>
  <c r="O4" i="54"/>
  <c r="D47" i="34"/>
  <c r="E52" i="71"/>
  <c r="O86" i="63"/>
  <c r="O7" i="39"/>
  <c r="J17" i="32"/>
  <c r="CC80" i="3"/>
  <c r="G4" i="73"/>
  <c r="M46" i="53"/>
  <c r="J42" i="43"/>
  <c r="N67" i="68"/>
  <c r="O71" i="49"/>
  <c r="F94" i="46"/>
  <c r="G16" i="89"/>
  <c r="M55" i="33"/>
  <c r="G24" i="90"/>
  <c r="J100" i="70"/>
  <c r="K41" i="62"/>
  <c r="D6" i="90"/>
  <c r="K48" i="32"/>
  <c r="F43" i="53"/>
  <c r="H103" i="49"/>
  <c r="L5" i="34"/>
  <c r="N98" i="27"/>
  <c r="F56" i="70"/>
  <c r="E56" i="53"/>
  <c r="J17" i="48"/>
  <c r="K30" i="35"/>
  <c r="O92" i="76"/>
  <c r="E107" i="83"/>
  <c r="H6" i="61"/>
  <c r="N14" i="80"/>
  <c r="H32" i="93"/>
  <c r="D49" i="79"/>
  <c r="L86" i="34"/>
  <c r="G82" i="70"/>
  <c r="N37" i="76"/>
  <c r="F55" i="77"/>
  <c r="D100" i="79"/>
  <c r="O46" i="83"/>
  <c r="G45" i="89"/>
  <c r="H9" i="87"/>
  <c r="E88" i="90"/>
  <c r="I67" i="65"/>
  <c r="N76" i="94"/>
  <c r="G53" i="79"/>
  <c r="J61" i="75"/>
  <c r="M33" i="44"/>
  <c r="M37" i="77"/>
  <c r="H30" i="52"/>
  <c r="G107" i="59"/>
  <c r="M9" i="60"/>
  <c r="M100" i="82"/>
  <c r="G53" i="41"/>
  <c r="D88" i="66"/>
  <c r="J4" i="65"/>
  <c r="F74" i="71"/>
  <c r="D4" i="68"/>
  <c r="G46" i="35"/>
  <c r="M86" i="76"/>
  <c r="D54" i="79"/>
  <c r="O14" i="80"/>
  <c r="J95" i="90"/>
  <c r="D25" i="63"/>
  <c r="O32" i="86"/>
  <c r="D24" i="38"/>
  <c r="N70" i="57"/>
  <c r="E80" i="27"/>
  <c r="I104" i="64"/>
  <c r="N6" i="69"/>
  <c r="E61" i="75"/>
  <c r="I39" i="80"/>
  <c r="J31" i="73"/>
  <c r="E41" i="71"/>
  <c r="F11" i="57"/>
  <c r="O57" i="46"/>
  <c r="N40" i="69"/>
  <c r="F98" i="84"/>
  <c r="E54" i="47"/>
  <c r="K9" i="66"/>
  <c r="K22" i="47"/>
  <c r="J54" i="69"/>
  <c r="E107" i="36"/>
  <c r="O92" i="54"/>
  <c r="D14" i="65"/>
  <c r="N10" i="71"/>
  <c r="I32" i="85"/>
  <c r="K77" i="61"/>
  <c r="J67" i="62"/>
  <c r="F46" i="77"/>
  <c r="G27" i="87"/>
  <c r="O35" i="84"/>
  <c r="I101" i="38"/>
  <c r="E61" i="56"/>
  <c r="D54" i="27"/>
  <c r="L51" i="55"/>
  <c r="J46" i="19"/>
  <c r="M74" i="47"/>
  <c r="E54" i="69"/>
  <c r="H32" i="26"/>
  <c r="K26" i="54"/>
  <c r="N43" i="51"/>
  <c r="E9" i="38"/>
  <c r="K83" i="89"/>
  <c r="E106" i="33"/>
  <c r="L31" i="65"/>
  <c r="N10" i="93"/>
  <c r="O25" i="67"/>
  <c r="N45" i="64"/>
  <c r="J12" i="93"/>
  <c r="D57" i="83"/>
  <c r="I88" i="84"/>
  <c r="M107" i="83"/>
  <c r="E54" i="35"/>
  <c r="J106" i="33"/>
  <c r="E58" i="83"/>
  <c r="M27" i="84"/>
  <c r="G104" i="56"/>
  <c r="N106" i="69"/>
  <c r="O62" i="62"/>
  <c r="D64" i="85"/>
  <c r="D67" i="83"/>
  <c r="D82" i="35"/>
  <c r="G76" i="89"/>
  <c r="K20" i="82"/>
  <c r="L97" i="63"/>
  <c r="M70" i="90"/>
  <c r="N53" i="27"/>
  <c r="O4" i="84"/>
  <c r="G10" i="71"/>
  <c r="O34" i="70"/>
  <c r="D12" i="47"/>
  <c r="H24" i="69"/>
  <c r="I65" i="67"/>
  <c r="N17" i="83"/>
  <c r="H29" i="29"/>
  <c r="H23" i="70"/>
  <c r="K11" i="74"/>
  <c r="I91" i="56"/>
  <c r="D79" i="70"/>
  <c r="CI50" i="3"/>
  <c r="M35" i="92"/>
  <c r="K48" i="80"/>
  <c r="D12" i="93"/>
  <c r="N106" i="66"/>
  <c r="D98" i="53"/>
  <c r="G4" i="33"/>
  <c r="D15" i="48"/>
  <c r="H27" i="85"/>
  <c r="I27" i="93"/>
  <c r="J14" i="80"/>
  <c r="M100" i="49"/>
  <c r="N34" i="33"/>
  <c r="O106" i="19"/>
  <c r="G12" i="83"/>
  <c r="G92" i="42"/>
  <c r="G94" i="86"/>
  <c r="L19" i="77"/>
  <c r="E101" i="38"/>
  <c r="M16" i="35"/>
  <c r="H22" i="61"/>
  <c r="O51" i="66"/>
  <c r="D9" i="71"/>
  <c r="M22" i="91"/>
  <c r="J58" i="56"/>
  <c r="E11" i="41"/>
  <c r="H89" i="82"/>
  <c r="J50" i="35"/>
  <c r="O24" i="56"/>
  <c r="N47" i="94"/>
  <c r="O88" i="62"/>
  <c r="N86" i="38"/>
  <c r="M51" i="57"/>
  <c r="O55" i="19"/>
  <c r="F30" i="74"/>
  <c r="D15" i="54"/>
  <c r="D67" i="86"/>
  <c r="N22" i="87"/>
  <c r="I12" i="30"/>
  <c r="I57" i="34"/>
  <c r="E97" i="45"/>
  <c r="I79" i="39"/>
  <c r="G16" i="44"/>
  <c r="I73" i="90"/>
  <c r="L71" i="58"/>
  <c r="F37" i="29"/>
  <c r="N77" i="87"/>
  <c r="E22" i="58"/>
  <c r="K54" i="19"/>
  <c r="I31" i="82"/>
  <c r="O68" i="60"/>
  <c r="M6" i="43"/>
  <c r="L92" i="41"/>
  <c r="J38" i="48"/>
  <c r="J94" i="40"/>
  <c r="E14" i="49"/>
  <c r="O73" i="83"/>
  <c r="G101" i="34"/>
  <c r="O27" i="68"/>
  <c r="N67" i="33"/>
  <c r="H100" i="70"/>
  <c r="N49" i="83"/>
  <c r="H104" i="36"/>
  <c r="E40" i="55"/>
  <c r="D36" i="40"/>
  <c r="G100" i="41"/>
  <c r="J55" i="86"/>
  <c r="L9" i="49"/>
  <c r="F62" i="94"/>
  <c r="I106" i="89"/>
  <c r="M100" i="27"/>
  <c r="H27" i="55"/>
  <c r="G91" i="49"/>
  <c r="N54" i="66"/>
  <c r="L22" i="62"/>
  <c r="O58" i="73"/>
  <c r="M35" i="33"/>
  <c r="I21" i="69"/>
  <c r="L29" i="32"/>
  <c r="L16" i="29"/>
  <c r="E86" i="51"/>
  <c r="H54" i="46"/>
  <c r="K38" i="51"/>
  <c r="I36" i="67"/>
  <c r="E20"/>
  <c r="K47" i="34"/>
  <c r="K100" i="92"/>
  <c r="O43" i="55"/>
  <c r="F89" i="57"/>
  <c r="H91" i="72"/>
  <c r="I88" i="75"/>
  <c r="O46" i="78"/>
  <c r="N80" i="59"/>
  <c r="J31" i="26"/>
  <c r="I40" i="70"/>
  <c r="E25" i="64"/>
  <c r="D21" i="45"/>
  <c r="F41"/>
  <c r="K49" i="76"/>
  <c r="H54" i="65"/>
  <c r="N92" i="64"/>
  <c r="D79" i="63"/>
  <c r="J80" i="54"/>
  <c r="O11" i="57"/>
  <c r="J9" i="87"/>
  <c r="H44" i="43"/>
  <c r="K64" i="80"/>
  <c r="F97" i="56"/>
  <c r="D86" i="26"/>
  <c r="G65" i="74"/>
  <c r="E43" i="46"/>
  <c r="H24" i="38"/>
  <c r="E55" i="58"/>
  <c r="G43" i="69"/>
  <c r="F91" i="47"/>
  <c r="J54" i="58"/>
  <c r="D47" i="41"/>
  <c r="J11" i="62"/>
  <c r="I103" i="32"/>
  <c r="I43" i="47"/>
  <c r="F51" i="77"/>
  <c r="D19" i="93"/>
  <c r="G7" i="82"/>
  <c r="K37" i="30"/>
  <c r="J97" i="64"/>
  <c r="E45" i="78"/>
  <c r="I31" i="54"/>
  <c r="J46" i="45"/>
  <c r="J25" i="56"/>
  <c r="I12" i="38"/>
  <c r="G64" i="75"/>
  <c r="I11" i="50"/>
  <c r="L29" i="71"/>
  <c r="M97" i="91"/>
  <c r="M28" i="61"/>
  <c r="H55" i="60"/>
  <c r="K47" i="29"/>
  <c r="F80" i="39"/>
  <c r="I76" i="73"/>
  <c r="I76" i="57"/>
  <c r="J51" i="60"/>
  <c r="I11" i="33"/>
  <c r="N8" i="84"/>
  <c r="E34" i="81"/>
  <c r="L48" i="54"/>
  <c r="O42" i="67"/>
  <c r="K10" i="61"/>
  <c r="O47" i="55"/>
  <c r="K35" i="61"/>
  <c r="F49" i="43"/>
  <c r="H48" i="81"/>
  <c r="O56" i="80"/>
  <c r="L19" i="91"/>
  <c r="K101" i="64"/>
  <c r="E57" i="60"/>
  <c r="D64" i="27"/>
  <c r="K27" i="59"/>
  <c r="K30" i="86"/>
  <c r="CJ52" i="3"/>
  <c r="N47" i="66"/>
  <c r="D50" i="41"/>
  <c r="K49" i="46"/>
  <c r="K106" i="55"/>
  <c r="E62" i="69"/>
  <c r="D100" i="53"/>
  <c r="L67" i="92"/>
  <c r="I39" i="91"/>
  <c r="E64" i="52"/>
  <c r="E58" i="29"/>
  <c r="L5" i="68"/>
  <c r="O71" i="80"/>
  <c r="G103" i="62"/>
  <c r="O80" i="45"/>
  <c r="E47" i="48"/>
  <c r="M91" i="89"/>
  <c r="H95" i="64"/>
  <c r="D33" i="65"/>
  <c r="N33" i="92"/>
  <c r="F19" i="76"/>
  <c r="O11" i="36"/>
  <c r="J92" i="50"/>
  <c r="O91" i="54"/>
  <c r="L47" i="25"/>
  <c r="F12" i="27"/>
  <c r="H86"/>
  <c r="N73" i="58"/>
  <c r="G14" i="63"/>
  <c r="G33" i="67"/>
  <c r="I9" i="46"/>
  <c r="E12" i="94"/>
  <c r="E103" i="85"/>
  <c r="F24" i="92"/>
  <c r="J97" i="32"/>
  <c r="G11" i="77"/>
  <c r="H37" i="81"/>
  <c r="K74" i="43"/>
  <c r="O64" i="49"/>
  <c r="O64" i="80"/>
  <c r="L15" i="38"/>
  <c r="L92" i="61"/>
  <c r="I103" i="93"/>
  <c r="M61" i="33"/>
  <c r="M103" i="74"/>
  <c r="O7" i="80"/>
  <c r="M49" i="75"/>
  <c r="K5" i="36"/>
  <c r="N13" i="74"/>
  <c r="I94" i="50"/>
  <c r="L52" i="27"/>
  <c r="J7" i="38"/>
  <c r="I29" i="27"/>
  <c r="I80" i="61"/>
  <c r="M97" i="63"/>
  <c r="M71" i="64"/>
  <c r="D33" i="25"/>
  <c r="J38" i="78"/>
  <c r="G79" i="51"/>
  <c r="M101" i="53"/>
  <c r="I80" i="49"/>
  <c r="J95" i="36"/>
  <c r="H41" i="80"/>
  <c r="O39" i="55"/>
  <c r="I30" i="72"/>
  <c r="M30" i="82"/>
  <c r="H97" i="39"/>
  <c r="I107" i="78"/>
  <c r="N24" i="30"/>
  <c r="K37" i="77"/>
  <c r="I5" i="46"/>
  <c r="L49" i="89"/>
  <c r="G6" i="38"/>
  <c r="G98" i="68"/>
  <c r="I83" i="78"/>
  <c r="H5" i="94"/>
  <c r="L73" i="62"/>
  <c r="O53" i="91"/>
  <c r="G97" i="60"/>
  <c r="F28" i="65"/>
  <c r="O55" i="61"/>
  <c r="F21" i="26"/>
  <c r="D71" i="52"/>
  <c r="H92" i="40"/>
  <c r="E68" i="78"/>
  <c r="I98" i="77"/>
  <c r="E47" i="30"/>
  <c r="M34" i="53"/>
  <c r="D32" i="27"/>
  <c r="D55" i="44"/>
  <c r="J14" i="94"/>
  <c r="I9" i="72"/>
  <c r="E54" i="92"/>
  <c r="I53" i="43"/>
  <c r="I92" i="94"/>
  <c r="E7" i="30"/>
  <c r="L67" i="47"/>
  <c r="I38" i="84"/>
  <c r="E9" i="63"/>
  <c r="G10" i="54"/>
  <c r="F41" i="39"/>
  <c r="F73" i="32"/>
  <c r="J106" i="83"/>
  <c r="G107" i="41"/>
  <c r="I100" i="39"/>
  <c r="L9" i="43"/>
  <c r="K12" i="87"/>
  <c r="N56" i="82"/>
  <c r="F68" i="43"/>
  <c r="J88" i="57"/>
  <c r="L16" i="74"/>
  <c r="I100" i="67"/>
  <c r="L7" i="63"/>
  <c r="E27" i="30"/>
  <c r="N21" i="83"/>
  <c r="G94" i="63"/>
  <c r="F70" i="92"/>
  <c r="J101" i="47"/>
  <c r="L36" i="72"/>
  <c r="H104" i="83"/>
  <c r="O77" i="69"/>
  <c r="M20" i="55"/>
  <c r="L64" i="74"/>
  <c r="L32" i="47"/>
  <c r="H20" i="57"/>
  <c r="O73" i="41"/>
  <c r="N32" i="59"/>
  <c r="I28" i="92"/>
  <c r="F54" i="71"/>
  <c r="K30" i="33"/>
  <c r="E7" i="72"/>
  <c r="I40" i="78"/>
  <c r="N5" i="36"/>
  <c r="L51" i="71"/>
  <c r="I28" i="70"/>
  <c r="G92" i="35"/>
  <c r="H20" i="90"/>
  <c r="I41" i="71"/>
  <c r="O68" i="70"/>
  <c r="D50" i="87"/>
  <c r="K49" i="86"/>
  <c r="J100" i="48"/>
  <c r="K49" i="64"/>
  <c r="E43" i="43"/>
  <c r="J68" i="46"/>
  <c r="G26" i="69"/>
  <c r="M65" i="87"/>
  <c r="K32" i="64"/>
  <c r="H97" i="67"/>
  <c r="M101" i="27"/>
  <c r="E74" i="92"/>
  <c r="M106" i="84"/>
  <c r="H53" i="94"/>
  <c r="M83" i="40"/>
  <c r="F35" i="76"/>
  <c r="I76" i="44"/>
  <c r="F73" i="82"/>
  <c r="J45" i="67"/>
  <c r="E19" i="86"/>
  <c r="I62"/>
  <c r="O52" i="74"/>
  <c r="M106" i="53"/>
  <c r="I32" i="86"/>
  <c r="M95" i="87"/>
  <c r="O51" i="51"/>
  <c r="G83" i="81"/>
  <c r="H83" i="59"/>
  <c r="N98" i="39"/>
  <c r="N43" i="63"/>
  <c r="F79" i="78"/>
  <c r="M57" i="81"/>
  <c r="N35" i="93"/>
  <c r="F85" i="29"/>
  <c r="G5" i="41"/>
  <c r="G19" i="92"/>
  <c r="F40" i="68"/>
  <c r="M100" i="34"/>
  <c r="G103" i="66"/>
  <c r="O59" i="33"/>
  <c r="K107" i="53"/>
  <c r="J62" i="79"/>
  <c r="K43" i="61"/>
  <c r="N18" i="66"/>
  <c r="D50" i="84"/>
  <c r="O7" i="36"/>
  <c r="L50" i="81"/>
  <c r="F40" i="35"/>
  <c r="E6" i="55"/>
  <c r="O15" i="29"/>
  <c r="D83" i="39"/>
  <c r="L38" i="61"/>
  <c r="F100" i="79"/>
  <c r="M49" i="33"/>
  <c r="G41" i="77"/>
  <c r="L40" i="71"/>
  <c r="H91" i="44"/>
  <c r="K18" i="38"/>
  <c r="G7" i="76"/>
  <c r="K67" i="65"/>
  <c r="L31" i="38"/>
  <c r="H76" i="25"/>
  <c r="K36" i="27"/>
  <c r="M37" i="80"/>
  <c r="J82" i="38"/>
  <c r="M46" i="82"/>
  <c r="G103" i="30"/>
  <c r="I106" i="90"/>
  <c r="J19" i="35"/>
  <c r="E92" i="94"/>
  <c r="G7" i="19"/>
  <c r="J29" i="65"/>
  <c r="O94" i="92"/>
  <c r="O107" i="53"/>
  <c r="F22" i="67"/>
  <c r="N33" i="38"/>
  <c r="G11" i="49"/>
  <c r="L13" i="34"/>
  <c r="E42" i="59"/>
  <c r="E7" i="38"/>
  <c r="F38" i="86"/>
  <c r="L15" i="76"/>
  <c r="I28" i="93"/>
  <c r="G6" i="56"/>
  <c r="J36" i="82"/>
  <c r="G103" i="70"/>
  <c r="E25" i="59"/>
  <c r="M30" i="47"/>
  <c r="O47" i="26"/>
  <c r="L82" i="87"/>
  <c r="N11" i="47"/>
  <c r="M27" i="63"/>
  <c r="L52" i="78"/>
  <c r="F54" i="69"/>
  <c r="F91" i="36"/>
  <c r="M83" i="70"/>
  <c r="I26" i="69"/>
  <c r="O9" i="74"/>
  <c r="K36" i="39"/>
  <c r="G80" i="41"/>
  <c r="E34" i="63"/>
  <c r="G31" i="60"/>
  <c r="K38" i="49"/>
  <c r="G17" i="74"/>
  <c r="M9" i="63"/>
  <c r="G59" i="59"/>
  <c r="J62" i="89"/>
  <c r="G71" i="48"/>
  <c r="O23" i="29"/>
  <c r="D19" i="19"/>
  <c r="H25" i="70"/>
  <c r="I104" i="67"/>
  <c r="O76" i="30"/>
  <c r="H52" i="89"/>
  <c r="H9" i="50"/>
  <c r="F94" i="19"/>
  <c r="M36" i="93"/>
  <c r="D95" i="55"/>
  <c r="L40" i="90"/>
  <c r="E57" i="30"/>
  <c r="G18" i="68"/>
  <c r="D52" i="73"/>
  <c r="J26" i="47"/>
  <c r="I51" i="72"/>
  <c r="N74" i="80"/>
  <c r="I42" i="62"/>
  <c r="M101" i="54"/>
  <c r="E62" i="83"/>
  <c r="E10" i="75"/>
  <c r="K97" i="90"/>
  <c r="H67" i="82"/>
  <c r="L101" i="81"/>
  <c r="G45" i="61"/>
  <c r="O58" i="47"/>
  <c r="M64" i="77"/>
  <c r="E35" i="32"/>
  <c r="I49" i="46"/>
  <c r="E70" i="30"/>
  <c r="K89" i="43"/>
  <c r="D44" i="55"/>
  <c r="J45" i="87"/>
  <c r="L61" i="71"/>
  <c r="J56" i="32"/>
  <c r="N26" i="48"/>
  <c r="D65" i="38"/>
  <c r="L20" i="54"/>
  <c r="E65" i="19"/>
  <c r="K8" i="64"/>
  <c r="O98" i="39"/>
  <c r="D57" i="74"/>
  <c r="K61" i="72"/>
  <c r="H100" i="51"/>
  <c r="G82" i="34"/>
  <c r="K51" i="63"/>
  <c r="I48" i="57"/>
  <c r="F41" i="77"/>
  <c r="L57" i="57"/>
  <c r="I36" i="59"/>
  <c r="N71"/>
  <c r="L5" i="35"/>
  <c r="J67" i="79"/>
  <c r="O100" i="27"/>
  <c r="H85" i="59"/>
  <c r="I8" i="45"/>
  <c r="J56" i="46"/>
  <c r="G5" i="55"/>
  <c r="N25" i="67"/>
  <c r="K49" i="45"/>
  <c r="D35" i="34"/>
  <c r="K106" i="62"/>
  <c r="K23" i="80"/>
  <c r="L17" i="72"/>
  <c r="O11" i="93"/>
  <c r="H39" i="36"/>
  <c r="D39"/>
  <c r="H42" i="33"/>
  <c r="CE68" i="3"/>
  <c r="M88" i="76"/>
  <c r="E51" i="40"/>
  <c r="M50" i="76"/>
  <c r="H67" i="54"/>
  <c r="M107" i="57"/>
  <c r="N36" i="27"/>
  <c r="L37" i="90"/>
  <c r="I57" i="36"/>
  <c r="D61" i="66"/>
  <c r="H8" i="36"/>
  <c r="H49" i="33"/>
  <c r="K24" i="82"/>
  <c r="K52" i="45"/>
  <c r="D6" i="29"/>
  <c r="H28" i="36"/>
  <c r="N33" i="78"/>
  <c r="L37" i="70"/>
  <c r="L80" i="46"/>
  <c r="E33" i="36"/>
  <c r="E88" i="54"/>
  <c r="H42" i="72"/>
  <c r="K92" i="36"/>
  <c r="N82" i="57"/>
  <c r="G14" i="83"/>
  <c r="F46" i="90"/>
  <c r="F18" i="19"/>
  <c r="O107" i="77"/>
  <c r="D88" i="48"/>
  <c r="E32" i="83"/>
  <c r="CI61" i="3"/>
  <c r="M104" i="43"/>
  <c r="I29" i="77"/>
  <c r="H24" i="29"/>
  <c r="O101" i="59"/>
  <c r="I106" i="32"/>
  <c r="G25" i="90"/>
  <c r="O82" i="56"/>
  <c r="F53" i="65"/>
  <c r="F89" i="69"/>
  <c r="F43" i="90"/>
  <c r="J86" i="75"/>
  <c r="H49" i="63"/>
  <c r="F13" i="52"/>
  <c r="J80" i="60"/>
  <c r="L29" i="26"/>
  <c r="F85" i="50"/>
  <c r="O40" i="69"/>
  <c r="H31" i="30"/>
  <c r="M15" i="93"/>
  <c r="J106" i="91"/>
  <c r="O95" i="35"/>
  <c r="G20" i="34"/>
  <c r="L55" i="45"/>
  <c r="M4" i="77"/>
  <c r="I24" i="70"/>
  <c r="D61" i="41"/>
  <c r="I62"/>
  <c r="E46" i="91"/>
  <c r="I12" i="42"/>
  <c r="O40" i="30"/>
  <c r="M34" i="78"/>
  <c r="E106" i="79"/>
  <c r="H56" i="81"/>
  <c r="N58" i="35"/>
  <c r="H16" i="32"/>
  <c r="J23" i="75"/>
  <c r="H20" i="45"/>
  <c r="M50" i="72"/>
  <c r="L62" i="35"/>
  <c r="L26" i="70"/>
  <c r="N46" i="82"/>
  <c r="N29" i="19"/>
  <c r="N18" i="26"/>
  <c r="H39" i="51"/>
  <c r="K67" i="80"/>
  <c r="D100" i="67"/>
  <c r="I30" i="83"/>
  <c r="L76" i="73"/>
  <c r="K65" i="74"/>
  <c r="F36" i="57"/>
  <c r="L74" i="82"/>
  <c r="E15" i="39"/>
  <c r="N39" i="29"/>
  <c r="K57" i="43"/>
  <c r="D37" i="65"/>
  <c r="F32" i="41"/>
  <c r="I103" i="52"/>
  <c r="D20" i="43"/>
  <c r="M95" i="80"/>
  <c r="F95" i="50"/>
  <c r="D88" i="29"/>
  <c r="N40" i="63"/>
  <c r="E107" i="91"/>
  <c r="K21" i="41"/>
  <c r="I95" i="64"/>
  <c r="K8" i="84"/>
  <c r="CA64" i="3"/>
  <c r="O88" i="89"/>
  <c r="H42" i="32"/>
  <c r="K16" i="70"/>
  <c r="E30" i="68"/>
  <c r="D73" i="19"/>
  <c r="J25" i="73"/>
  <c r="G26" i="56"/>
  <c r="O91" i="40"/>
  <c r="F40" i="91"/>
  <c r="G80" i="73"/>
  <c r="J41" i="61"/>
  <c r="K95" i="72"/>
  <c r="M10" i="66"/>
  <c r="O74" i="58"/>
  <c r="M42" i="57"/>
  <c r="H16" i="29"/>
  <c r="J19" i="74"/>
  <c r="D59" i="59"/>
  <c r="I95" i="55"/>
  <c r="I88" i="60"/>
  <c r="D31" i="19"/>
  <c r="N68" i="91"/>
  <c r="H98" i="61"/>
  <c r="G21" i="52"/>
  <c r="N41" i="66"/>
  <c r="I57" i="85"/>
  <c r="G54" i="75"/>
  <c r="G8" i="77"/>
  <c r="F68" i="48"/>
  <c r="L5" i="54"/>
  <c r="N21" i="25"/>
  <c r="J56" i="66"/>
  <c r="H44" i="19"/>
  <c r="L79" i="70"/>
  <c r="D56" i="25"/>
  <c r="H16" i="81"/>
  <c r="K35" i="75"/>
  <c r="F20" i="29"/>
  <c r="N62" i="27"/>
  <c r="F19" i="70"/>
  <c r="K22" i="81"/>
  <c r="D37" i="82"/>
  <c r="L35" i="41"/>
  <c r="D88" i="80"/>
  <c r="M103" i="41"/>
  <c r="H40" i="32"/>
  <c r="E89" i="29"/>
  <c r="L17" i="83"/>
  <c r="D94" i="36"/>
  <c r="J49" i="65"/>
  <c r="D30" i="54"/>
  <c r="N35" i="36"/>
  <c r="N65" i="29"/>
  <c r="E61" i="50"/>
  <c r="G24" i="75"/>
  <c r="I6" i="42"/>
  <c r="F97" i="47"/>
  <c r="O45" i="54"/>
  <c r="J101" i="38"/>
  <c r="L35" i="47"/>
  <c r="H52" i="50"/>
  <c r="H33" i="69"/>
  <c r="L83" i="89"/>
  <c r="J76" i="81"/>
  <c r="F73" i="94"/>
  <c r="H95" i="86"/>
  <c r="O74" i="62"/>
  <c r="O19" i="47"/>
  <c r="K14" i="25"/>
  <c r="I46" i="59"/>
  <c r="E76" i="44"/>
  <c r="H42" i="59"/>
  <c r="I8" i="75"/>
  <c r="G68" i="42"/>
  <c r="H80" i="46"/>
  <c r="J27" i="44"/>
  <c r="D51" i="87"/>
  <c r="L103" i="27"/>
  <c r="F104" i="25"/>
  <c r="K58" i="49"/>
  <c r="H103" i="93"/>
  <c r="O41" i="68"/>
  <c r="I15" i="41"/>
  <c r="K92" i="81"/>
  <c r="L7" i="36"/>
  <c r="I98" i="49"/>
  <c r="K74" i="32"/>
  <c r="E16" i="69"/>
  <c r="G61" i="84"/>
  <c r="F58" i="62"/>
  <c r="J12" i="49"/>
  <c r="O51" i="90"/>
  <c r="L14" i="77"/>
  <c r="G27" i="81"/>
  <c r="F49" i="73"/>
  <c r="K61" i="36"/>
  <c r="L46" i="49"/>
  <c r="L12" i="55"/>
  <c r="G70" i="64"/>
  <c r="N44" i="44"/>
  <c r="F95" i="66"/>
  <c r="E9" i="80"/>
  <c r="F15" i="63"/>
  <c r="J43" i="54"/>
  <c r="H57"/>
  <c r="N70" i="76"/>
  <c r="D49" i="33"/>
  <c r="I55" i="85"/>
  <c r="N50" i="56"/>
  <c r="E56" i="34"/>
  <c r="D79" i="26"/>
  <c r="G86" i="84"/>
  <c r="K47" i="26"/>
  <c r="M77" i="73"/>
  <c r="N5" i="29"/>
  <c r="O33" i="84"/>
  <c r="N55" i="66"/>
  <c r="N79" i="62"/>
  <c r="J89" i="56"/>
  <c r="D52" i="75"/>
  <c r="E7" i="46"/>
  <c r="N74" i="86"/>
  <c r="H37" i="87"/>
  <c r="G92" i="58"/>
  <c r="O101" i="39"/>
  <c r="E106" i="80"/>
  <c r="M106" i="70"/>
  <c r="O52" i="30"/>
  <c r="N22" i="38"/>
  <c r="M7" i="40"/>
  <c r="G5" i="94"/>
  <c r="E65" i="26"/>
  <c r="I17" i="58"/>
  <c r="M50" i="27"/>
  <c r="L9" i="68"/>
  <c r="E55" i="66"/>
  <c r="F6" i="91"/>
  <c r="H50" i="32"/>
  <c r="N33" i="87"/>
  <c r="K41" i="25"/>
  <c r="D29" i="56"/>
  <c r="N65" i="77"/>
  <c r="L92" i="93"/>
  <c r="D77" i="49"/>
  <c r="H91" i="69"/>
  <c r="E94" i="75"/>
  <c r="E71" i="60"/>
  <c r="G34" i="74"/>
  <c r="M24" i="62"/>
  <c r="D52" i="78"/>
  <c r="N91" i="92"/>
  <c r="D74" i="46"/>
  <c r="J68" i="48"/>
  <c r="M10" i="64"/>
  <c r="J83" i="89"/>
  <c r="O51" i="81"/>
  <c r="J55"/>
  <c r="M18" i="36"/>
  <c r="L41" i="92"/>
  <c r="O74" i="45"/>
  <c r="M46" i="44"/>
  <c r="G9" i="39"/>
  <c r="G12" i="46"/>
  <c r="J82" i="77"/>
  <c r="M33" i="75"/>
  <c r="F46" i="55"/>
  <c r="F71" i="60"/>
  <c r="D82" i="19"/>
  <c r="N22" i="34"/>
  <c r="M9" i="62"/>
  <c r="J44"/>
  <c r="G13" i="32"/>
  <c r="N77" i="63"/>
  <c r="E77" i="46"/>
  <c r="L83" i="51"/>
  <c r="G89" i="80"/>
  <c r="L18" i="78"/>
  <c r="L77" i="32"/>
  <c r="O83" i="30"/>
  <c r="I45" i="55"/>
  <c r="J67" i="65"/>
  <c r="M85" i="74"/>
  <c r="I51" i="70"/>
  <c r="D41" i="90"/>
  <c r="O42" i="36"/>
  <c r="K30" i="91"/>
  <c r="N45" i="75"/>
  <c r="O57" i="81"/>
  <c r="J6" i="74"/>
  <c r="H92" i="81"/>
  <c r="M59" i="93"/>
  <c r="G36" i="86"/>
  <c r="E32" i="69"/>
  <c r="D74" i="72"/>
  <c r="J101" i="69"/>
  <c r="M11"/>
  <c r="M14" i="92"/>
  <c r="H18" i="43"/>
  <c r="J79" i="50"/>
  <c r="H50" i="82"/>
  <c r="M11" i="51"/>
  <c r="K80" i="90"/>
  <c r="H68" i="19"/>
  <c r="M55" i="53"/>
  <c r="M62" i="45"/>
  <c r="I8" i="79"/>
  <c r="E80" i="35"/>
  <c r="D85" i="53"/>
  <c r="J51" i="54"/>
  <c r="E34" i="52"/>
  <c r="K7" i="70"/>
  <c r="F50" i="87"/>
  <c r="F24" i="55"/>
  <c r="N41"/>
  <c r="D29" i="60"/>
  <c r="J71" i="63"/>
  <c r="D74" i="32"/>
  <c r="H34" i="60"/>
  <c r="L18" i="29"/>
  <c r="O12" i="66"/>
  <c r="E23" i="68"/>
  <c r="L79" i="61"/>
  <c r="K20" i="92"/>
  <c r="M16" i="73"/>
  <c r="N42" i="25"/>
  <c r="H12" i="90"/>
  <c r="F34" i="63"/>
  <c r="J106" i="40"/>
  <c r="J40" i="65"/>
  <c r="G88"/>
  <c r="J104" i="34"/>
  <c r="D4" i="66"/>
  <c r="G100" i="30"/>
  <c r="I100" i="29"/>
  <c r="D33" i="86"/>
  <c r="N50" i="64"/>
  <c r="M67" i="27"/>
  <c r="G48" i="90"/>
  <c r="D56" i="87"/>
  <c r="L19" i="25"/>
  <c r="D41" i="87"/>
  <c r="N55" i="81"/>
  <c r="G50" i="35"/>
  <c r="K29" i="66"/>
  <c r="K59" i="67"/>
  <c r="F94" i="69"/>
  <c r="E59" i="68"/>
  <c r="D76" i="86"/>
  <c r="G20" i="63"/>
  <c r="E40" i="83"/>
  <c r="I13" i="63"/>
  <c r="F74" i="78"/>
  <c r="F71" i="27"/>
  <c r="D49" i="67"/>
  <c r="D30" i="32"/>
  <c r="H71" i="91"/>
  <c r="L10" i="44"/>
  <c r="N92" i="34"/>
  <c r="F28" i="50"/>
  <c r="F92" i="19"/>
  <c r="D28" i="67"/>
  <c r="I100" i="83"/>
  <c r="E22" i="46"/>
  <c r="K40" i="89"/>
  <c r="L100" i="38"/>
  <c r="K54" i="78"/>
  <c r="D85" i="38"/>
  <c r="I45" i="49"/>
  <c r="H62" i="46"/>
  <c r="H89" i="74"/>
  <c r="M33" i="45"/>
  <c r="G76" i="35"/>
  <c r="H80" i="69"/>
  <c r="M67" i="73"/>
  <c r="E52" i="65"/>
  <c r="O71" i="35"/>
  <c r="D28" i="54"/>
  <c r="O26" i="63"/>
  <c r="E46" i="50"/>
  <c r="F45" i="58"/>
  <c r="N28" i="68"/>
  <c r="D92" i="49"/>
  <c r="I57" i="45"/>
  <c r="H33" i="49"/>
  <c r="M40" i="62"/>
  <c r="N14" i="90"/>
  <c r="D27" i="48"/>
  <c r="M101"/>
  <c r="L14" i="49"/>
  <c r="H106" i="94"/>
  <c r="I52" i="30"/>
  <c r="I88" i="50"/>
  <c r="M51" i="53"/>
  <c r="K103" i="34"/>
  <c r="G10" i="85"/>
  <c r="K20" i="25"/>
  <c r="L46" i="82"/>
  <c r="K28" i="58"/>
  <c r="D30" i="50"/>
  <c r="G56" i="82"/>
  <c r="G86" i="33"/>
  <c r="M24" i="82"/>
  <c r="N88" i="65"/>
  <c r="I16" i="48"/>
  <c r="K55" i="25"/>
  <c r="D107" i="26"/>
  <c r="F79" i="76"/>
  <c r="M22" i="84"/>
  <c r="F23" i="25"/>
  <c r="N76" i="47"/>
  <c r="O21" i="55"/>
  <c r="O49" i="62"/>
  <c r="O85" i="44"/>
  <c r="M67" i="93"/>
  <c r="E98" i="76"/>
  <c r="K61" i="49"/>
  <c r="O46" i="91"/>
  <c r="J58" i="75"/>
  <c r="J76" i="45"/>
  <c r="O14" i="25"/>
  <c r="K65" i="44"/>
  <c r="K36" i="75"/>
  <c r="K73" i="35"/>
  <c r="J37" i="82"/>
  <c r="I73" i="79"/>
  <c r="M15" i="90"/>
  <c r="J68" i="63"/>
  <c r="I92" i="83"/>
  <c r="M71" i="66"/>
  <c r="H94" i="64"/>
  <c r="G48" i="76"/>
  <c r="I106" i="49"/>
  <c r="K16" i="41"/>
  <c r="G92"/>
  <c r="N6" i="39"/>
  <c r="O76" i="55"/>
  <c r="L85" i="54"/>
  <c r="K106" i="70"/>
  <c r="D39" i="86"/>
  <c r="E43" i="55"/>
  <c r="E53" i="46"/>
  <c r="N41" i="83"/>
  <c r="K22" i="43"/>
  <c r="D52" i="62"/>
  <c r="N42" i="27"/>
  <c r="H51" i="52"/>
  <c r="H39" i="58"/>
  <c r="G39" i="39"/>
  <c r="H55" i="94"/>
  <c r="D25" i="80"/>
  <c r="D38" i="65"/>
  <c r="J16" i="74"/>
  <c r="D64" i="67"/>
  <c r="M34" i="60"/>
  <c r="D100" i="86"/>
  <c r="D98" i="59"/>
  <c r="F76" i="79"/>
  <c r="E49" i="70"/>
  <c r="N97" i="61"/>
  <c r="O54" i="87"/>
  <c r="O26" i="62"/>
  <c r="L41" i="36"/>
  <c r="F50" i="72"/>
  <c r="F12" i="40"/>
  <c r="F97" i="44"/>
  <c r="E45" i="92"/>
  <c r="F17" i="68"/>
  <c r="F27" i="40"/>
  <c r="F29" i="32"/>
  <c r="F100" i="76"/>
  <c r="H45" i="33"/>
  <c r="J35" i="83"/>
  <c r="F6" i="52"/>
  <c r="K27" i="91"/>
  <c r="I67" i="43"/>
  <c r="H76" i="68"/>
  <c r="K104" i="34"/>
  <c r="K39" i="72"/>
  <c r="D8" i="92"/>
  <c r="G50" i="60"/>
  <c r="O54" i="58"/>
  <c r="O61" i="75"/>
  <c r="J85" i="59"/>
  <c r="H85" i="47"/>
  <c r="D68" i="52"/>
  <c r="D45" i="94"/>
  <c r="D25" i="52"/>
  <c r="D65" i="39"/>
  <c r="E22" i="70"/>
  <c r="N23" i="26"/>
  <c r="L45" i="69"/>
  <c r="D44" i="60"/>
  <c r="J77" i="55"/>
  <c r="J5" i="47"/>
  <c r="H48" i="25"/>
  <c r="I73" i="44"/>
  <c r="CB71" i="3"/>
  <c r="H62" i="77"/>
  <c r="D98" i="30"/>
  <c r="G10" i="87"/>
  <c r="H41" i="58"/>
  <c r="D38" i="83"/>
  <c r="E35" i="68"/>
  <c r="J73" i="41"/>
  <c r="L101" i="43"/>
  <c r="D92" i="33"/>
  <c r="G77" i="80"/>
  <c r="H49" i="75"/>
  <c r="G21" i="70"/>
  <c r="M13" i="84"/>
  <c r="M106" i="77"/>
  <c r="I17" i="59"/>
  <c r="I44" i="73"/>
  <c r="H100" i="71"/>
  <c r="O9" i="32"/>
  <c r="J82" i="65"/>
  <c r="M31" i="57"/>
  <c r="H82" i="41"/>
  <c r="J107" i="66"/>
  <c r="G35" i="80"/>
  <c r="I58" i="50"/>
  <c r="D100" i="87"/>
  <c r="M14" i="55"/>
  <c r="F56" i="50"/>
  <c r="D86" i="42"/>
  <c r="O41" i="77"/>
  <c r="O26" i="92"/>
  <c r="G68" i="81"/>
  <c r="L70" i="58"/>
  <c r="K64" i="74"/>
  <c r="O76" i="69"/>
  <c r="J47" i="76"/>
  <c r="K28" i="72"/>
  <c r="D71" i="69"/>
  <c r="J50" i="33"/>
  <c r="G6" i="93"/>
  <c r="O17" i="48"/>
  <c r="F36" i="58"/>
  <c r="L36" i="26"/>
  <c r="N65" i="82"/>
  <c r="G39" i="77"/>
  <c r="M45" i="53"/>
  <c r="H11" i="72"/>
  <c r="O70" i="86"/>
  <c r="K68" i="65"/>
  <c r="O106" i="46"/>
  <c r="K36" i="58"/>
  <c r="I61" i="38"/>
  <c r="I62" i="65"/>
  <c r="H25" i="73"/>
  <c r="K4" i="90"/>
  <c r="H22" i="73"/>
  <c r="I73" i="52"/>
  <c r="O61" i="54"/>
  <c r="O94" i="91"/>
  <c r="H77" i="74"/>
  <c r="M106" i="87"/>
  <c r="L8" i="36"/>
  <c r="J10" i="41"/>
  <c r="K9"/>
  <c r="K36" i="89"/>
  <c r="I106" i="36"/>
  <c r="J42" i="47"/>
  <c r="E9" i="25"/>
  <c r="I107" i="86"/>
  <c r="L11" i="30"/>
  <c r="L22" i="45"/>
  <c r="O45" i="25"/>
  <c r="N47" i="61"/>
  <c r="H28" i="54"/>
  <c r="M5" i="53"/>
  <c r="L32" i="43"/>
  <c r="H49" i="94"/>
  <c r="E42" i="48"/>
  <c r="E4" i="49"/>
  <c r="F53" i="79"/>
  <c r="N9" i="80"/>
  <c r="K73" i="63"/>
  <c r="N42" i="30"/>
  <c r="L104" i="86"/>
  <c r="H62" i="68"/>
  <c r="G104" i="80"/>
  <c r="I95" i="19"/>
  <c r="O82" i="93"/>
  <c r="K50" i="55"/>
  <c r="H13" i="58"/>
  <c r="F12" i="44"/>
  <c r="E89" i="47"/>
  <c r="I107" i="38"/>
  <c r="K34" i="83"/>
  <c r="I35" i="62"/>
  <c r="I106" i="75"/>
  <c r="G45" i="64"/>
  <c r="F10" i="48"/>
  <c r="N32" i="34"/>
  <c r="K21" i="30"/>
  <c r="I34" i="89"/>
  <c r="I31" i="72"/>
  <c r="H68" i="73"/>
  <c r="N54" i="67"/>
  <c r="J106" i="50"/>
  <c r="J7" i="82"/>
  <c r="E82" i="94"/>
  <c r="F88" i="73"/>
  <c r="L68" i="86"/>
  <c r="N94" i="66"/>
  <c r="F29" i="77"/>
  <c r="F17" i="85"/>
  <c r="D31" i="43"/>
  <c r="M37" i="91"/>
  <c r="H47" i="69"/>
  <c r="F11" i="49"/>
  <c r="D24" i="57"/>
  <c r="D20" i="89"/>
  <c r="H29" i="27"/>
  <c r="F23" i="60"/>
  <c r="H5" i="49"/>
  <c r="K58" i="41"/>
  <c r="O48" i="69"/>
  <c r="O4" i="90"/>
  <c r="M74" i="38"/>
  <c r="D42" i="58"/>
  <c r="H15" i="57"/>
  <c r="G42" i="91"/>
  <c r="I51" i="29"/>
  <c r="F91" i="72"/>
  <c r="O37" i="19"/>
  <c r="M100" i="89"/>
  <c r="K98" i="71"/>
  <c r="H44" i="63"/>
  <c r="L4" i="58"/>
  <c r="E8" i="71"/>
  <c r="M64" i="81"/>
  <c r="F11" i="39"/>
  <c r="N86"/>
  <c r="D70" i="45"/>
  <c r="H8" i="27"/>
  <c r="I45" i="75"/>
  <c r="M97" i="26"/>
  <c r="I54" i="62"/>
  <c r="O89" i="91"/>
  <c r="M42" i="25"/>
  <c r="L92" i="39"/>
  <c r="F24" i="83"/>
  <c r="I88" i="82"/>
  <c r="D85" i="51"/>
  <c r="H92" i="71"/>
  <c r="O107" i="41"/>
  <c r="D37" i="43"/>
  <c r="D67" i="39"/>
  <c r="L45" i="55"/>
  <c r="G77" i="38"/>
  <c r="F85" i="43"/>
  <c r="F30" i="34"/>
  <c r="E45" i="19"/>
  <c r="H101" i="52"/>
  <c r="O24" i="68"/>
  <c r="K46" i="30"/>
  <c r="F80" i="72"/>
  <c r="L12" i="93"/>
  <c r="J34" i="72"/>
  <c r="E94" i="80"/>
  <c r="M22" i="35"/>
  <c r="E26" i="51"/>
  <c r="O21" i="54"/>
  <c r="K28" i="82"/>
  <c r="K7" i="49"/>
  <c r="H52" i="69"/>
  <c r="N25" i="71"/>
  <c r="O46" i="82"/>
  <c r="O31" i="94"/>
  <c r="M4" i="39"/>
  <c r="L32" i="87"/>
  <c r="O71" i="47"/>
  <c r="H24" i="70"/>
  <c r="I67" i="68"/>
  <c r="N73" i="82"/>
  <c r="L53" i="64"/>
  <c r="K19" i="47"/>
  <c r="I27" i="58"/>
  <c r="O46" i="26"/>
  <c r="H89" i="63"/>
  <c r="F59" i="81"/>
  <c r="D19" i="86"/>
  <c r="O101" i="69"/>
  <c r="F18" i="48"/>
  <c r="H9" i="51"/>
  <c r="D80" i="54"/>
  <c r="I14" i="96"/>
  <c r="G40" i="81"/>
  <c r="N16"/>
  <c r="K23" i="41"/>
  <c r="O77" i="19"/>
  <c r="I74" i="29"/>
  <c r="H59" i="71"/>
  <c r="H92" i="66"/>
  <c r="E5" i="70"/>
  <c r="O51" i="92"/>
  <c r="G54" i="51"/>
  <c r="E12" i="64"/>
  <c r="D88" i="63"/>
  <c r="E97" i="35"/>
  <c r="O55" i="77"/>
  <c r="D79" i="94"/>
  <c r="E77" i="67"/>
  <c r="I73" i="72"/>
  <c r="M33" i="87"/>
  <c r="E38" i="91"/>
  <c r="L47" i="60"/>
  <c r="M82" i="46"/>
  <c r="O83" i="49"/>
  <c r="E44" i="43"/>
  <c r="G58" i="92"/>
  <c r="E65" i="77"/>
  <c r="J22" i="29"/>
  <c r="K95" i="58"/>
  <c r="D85" i="64"/>
  <c r="N43" i="60"/>
  <c r="D88" i="71"/>
  <c r="O4" i="53"/>
  <c r="E33" i="89"/>
  <c r="L35" i="86"/>
  <c r="F94" i="39"/>
  <c r="F55" i="43"/>
  <c r="J47" i="53"/>
  <c r="K80" i="86"/>
  <c r="N55" i="94"/>
  <c r="K4" i="49"/>
  <c r="I80" i="64"/>
  <c r="F30" i="73"/>
  <c r="H98" i="70"/>
  <c r="M40" i="47"/>
  <c r="H20" i="35"/>
  <c r="M14" i="48"/>
  <c r="F50" i="57"/>
  <c r="K49" i="87"/>
  <c r="I15" i="49"/>
  <c r="J45" i="82"/>
  <c r="G11" i="58"/>
  <c r="J53" i="70"/>
  <c r="J57" i="45"/>
  <c r="K92" i="76"/>
  <c r="E49" i="34"/>
  <c r="D52" i="71"/>
  <c r="I92" i="54"/>
  <c r="J94" i="71"/>
  <c r="L39" i="81"/>
  <c r="O65" i="84"/>
  <c r="K21" i="32"/>
  <c r="D71" i="30"/>
  <c r="E53" i="87"/>
  <c r="D86" i="45"/>
  <c r="K11" i="63"/>
  <c r="I104" i="94"/>
  <c r="O51" i="82"/>
  <c r="L95" i="29"/>
  <c r="D41" i="71"/>
  <c r="M88" i="82"/>
  <c r="K94" i="92"/>
  <c r="D48" i="36"/>
  <c r="J92" i="77"/>
  <c r="J25" i="76"/>
  <c r="M73" i="93"/>
  <c r="H10" i="29"/>
  <c r="N54" i="94"/>
  <c r="K89" i="66"/>
  <c r="G70" i="69"/>
  <c r="K55" i="32"/>
  <c r="O92" i="19"/>
  <c r="O47" i="93"/>
  <c r="H17" i="71"/>
  <c r="F40" i="76"/>
  <c r="H12" i="36"/>
  <c r="G11"/>
  <c r="J97" i="55"/>
  <c r="M98" i="69"/>
  <c r="G45" i="25"/>
  <c r="G107" i="63"/>
  <c r="J15" i="45"/>
  <c r="L49" i="57"/>
  <c r="J28" i="32"/>
  <c r="J31" i="77"/>
  <c r="K47" i="62"/>
  <c r="I77" i="53"/>
  <c r="I68" i="89"/>
  <c r="G97" i="66"/>
  <c r="F4" i="64"/>
  <c r="I27" i="67"/>
  <c r="N8" i="90"/>
  <c r="N20" i="57"/>
  <c r="O61" i="32"/>
  <c r="O86" i="25"/>
  <c r="J14" i="79"/>
  <c r="K33" i="27"/>
  <c r="H12" i="94"/>
  <c r="O24" i="84"/>
  <c r="F6" i="50"/>
  <c r="H103" i="92"/>
  <c r="O33" i="58"/>
  <c r="CI38" i="3"/>
  <c r="M21" i="36"/>
  <c r="L25" i="51"/>
  <c r="O31" i="65"/>
  <c r="N16" i="90"/>
  <c r="L77" i="35"/>
  <c r="L45" i="43"/>
  <c r="F58" i="50"/>
  <c r="J91" i="48"/>
  <c r="N11" i="69"/>
  <c r="I98" i="74"/>
  <c r="D32" i="82"/>
  <c r="J92" i="44"/>
  <c r="H71" i="47"/>
  <c r="L95" i="36"/>
  <c r="M70" i="92"/>
  <c r="L57" i="82"/>
  <c r="I77" i="30"/>
  <c r="F8" i="27"/>
  <c r="I91" i="53"/>
  <c r="M77" i="81"/>
  <c r="J92" i="48"/>
  <c r="D58" i="32"/>
  <c r="F79" i="89"/>
  <c r="I70"/>
  <c r="I31" i="79"/>
  <c r="E38" i="92"/>
  <c r="K61" i="48"/>
  <c r="N94" i="93"/>
  <c r="F59" i="85"/>
  <c r="K89" i="74"/>
  <c r="M17" i="84"/>
  <c r="G64" i="64"/>
  <c r="F35" i="32"/>
  <c r="F50" i="51"/>
  <c r="J33" i="38"/>
  <c r="G67" i="54"/>
  <c r="F57" i="74"/>
  <c r="O91" i="77"/>
  <c r="L89" i="71"/>
  <c r="E25" i="93"/>
  <c r="D79" i="78"/>
  <c r="G20" i="85"/>
  <c r="M5" i="25"/>
  <c r="K57" i="27"/>
  <c r="E97" i="52"/>
  <c r="K103" i="73"/>
  <c r="I52" i="77"/>
  <c r="J14" i="25"/>
  <c r="J88" i="74"/>
  <c r="L47" i="86"/>
  <c r="G73" i="30"/>
  <c r="L89" i="74"/>
  <c r="J94" i="39"/>
  <c r="H48" i="75"/>
  <c r="K14" i="81"/>
  <c r="F39" i="79"/>
  <c r="D94" i="27"/>
  <c r="N58" i="56"/>
  <c r="D29" i="83"/>
  <c r="F98" i="43"/>
  <c r="J30" i="30"/>
  <c r="D58" i="19"/>
  <c r="E39" i="94"/>
  <c r="O30" i="64"/>
  <c r="J68" i="76"/>
  <c r="M24" i="92"/>
  <c r="D41" i="66"/>
  <c r="K40" i="29"/>
  <c r="O11" i="55"/>
  <c r="N18" i="34"/>
  <c r="D15" i="83"/>
  <c r="G20" i="53"/>
  <c r="O68" i="59"/>
  <c r="L29" i="80"/>
  <c r="G42" i="43"/>
  <c r="D52" i="70"/>
  <c r="M15" i="78"/>
  <c r="L68" i="73"/>
  <c r="G44" i="26"/>
  <c r="N38" i="40"/>
  <c r="F45" i="57"/>
  <c r="M62" i="77"/>
  <c r="N49" i="63"/>
  <c r="N51" i="74"/>
  <c r="M14" i="32"/>
  <c r="J39" i="73"/>
  <c r="J62" i="34"/>
  <c r="L92" i="56"/>
  <c r="O49" i="51"/>
  <c r="K49" i="44"/>
  <c r="E95" i="71"/>
  <c r="H86" i="69"/>
  <c r="L94" i="25"/>
  <c r="E25" i="33"/>
  <c r="H89" i="54"/>
  <c r="G39" i="30"/>
  <c r="K55" i="49"/>
  <c r="E73" i="86"/>
  <c r="M58" i="56"/>
  <c r="L46" i="32"/>
  <c r="CL51" i="3"/>
  <c r="F85" i="45"/>
  <c r="J55" i="46"/>
  <c r="D26" i="78"/>
  <c r="N67" i="93"/>
  <c r="J5" i="19"/>
  <c r="H59" i="55"/>
  <c r="F76" i="91"/>
  <c r="M89" i="90"/>
  <c r="D55" i="96"/>
  <c r="I46" i="70"/>
  <c r="F48" i="29"/>
  <c r="O24" i="94"/>
  <c r="L92" i="74"/>
  <c r="H53" i="38"/>
  <c r="G77" i="76"/>
  <c r="I6" i="82"/>
  <c r="E95" i="45"/>
  <c r="J52" i="84"/>
  <c r="K59" i="75"/>
  <c r="G82" i="77"/>
  <c r="J92" i="57"/>
  <c r="J29"/>
  <c r="G94" i="51"/>
  <c r="H30" i="59"/>
  <c r="H23" i="47"/>
  <c r="M59" i="67"/>
  <c r="F19" i="80"/>
  <c r="E37" i="71"/>
  <c r="D62" i="78"/>
  <c r="F53" i="74"/>
  <c r="D32" i="44"/>
  <c r="G79" i="86"/>
  <c r="E17" i="65"/>
  <c r="D59" i="73"/>
  <c r="G86" i="92"/>
  <c r="F85" i="35"/>
  <c r="G70" i="43"/>
  <c r="F59" i="73"/>
  <c r="D40" i="45"/>
  <c r="J22" i="79"/>
  <c r="L47" i="51"/>
  <c r="M73" i="73"/>
  <c r="K41" i="43"/>
  <c r="M6" i="33"/>
  <c r="D20" i="64"/>
  <c r="E47" i="46"/>
  <c r="H41" i="83"/>
  <c r="N51" i="47"/>
  <c r="N15" i="66"/>
  <c r="G27" i="69"/>
  <c r="K89" i="65"/>
  <c r="L19" i="58"/>
  <c r="M65" i="56"/>
  <c r="E59" i="92"/>
  <c r="D79" i="47"/>
  <c r="L83" i="81"/>
  <c r="E64" i="57"/>
  <c r="D10" i="38"/>
  <c r="N7" i="41"/>
  <c r="K80" i="40"/>
  <c r="D44" i="25"/>
  <c r="E46" i="40"/>
  <c r="N29" i="61"/>
  <c r="E46" i="76"/>
  <c r="CK33" i="3"/>
  <c r="G29" i="44"/>
  <c r="I19" i="63"/>
  <c r="E18" i="90"/>
  <c r="K25" i="65"/>
  <c r="K15" i="66"/>
  <c r="H83" i="77"/>
  <c r="K38" i="93"/>
  <c r="F32" i="91"/>
  <c r="J34" i="86"/>
  <c r="G65" i="84"/>
  <c r="H70" i="82"/>
  <c r="D39" i="39"/>
  <c r="H107" i="25"/>
  <c r="F38" i="51"/>
  <c r="N24" i="45"/>
  <c r="H34" i="64"/>
  <c r="G8" i="27"/>
  <c r="L89" i="77"/>
  <c r="N41" i="19"/>
  <c r="G54" i="74"/>
  <c r="J94" i="68"/>
  <c r="G53" i="55"/>
  <c r="O62" i="74"/>
  <c r="F23" i="48"/>
  <c r="J85" i="62"/>
  <c r="G6" i="91"/>
  <c r="G91" i="59"/>
  <c r="N21" i="75"/>
  <c r="F70" i="93"/>
  <c r="C15" i="22"/>
  <c r="K20" i="74"/>
  <c r="L46" i="25"/>
  <c r="M64" i="51"/>
  <c r="I89" i="64"/>
  <c r="I106" i="72"/>
  <c r="O20" i="74"/>
  <c r="F97" i="32"/>
  <c r="N61" i="92"/>
  <c r="J35" i="34"/>
  <c r="F33" i="36"/>
  <c r="M13" i="71"/>
  <c r="O97" i="86"/>
  <c r="H55" i="89"/>
  <c r="K21" i="63"/>
  <c r="F94" i="76"/>
  <c r="O20" i="80"/>
  <c r="G20" i="45"/>
  <c r="H7" i="59"/>
  <c r="F38" i="77"/>
  <c r="I34" i="61"/>
  <c r="M23" i="90"/>
  <c r="M104" i="89"/>
  <c r="E21" i="80"/>
  <c r="L54" i="44"/>
  <c r="I79" i="54"/>
  <c r="E23" i="91"/>
  <c r="K56" i="29"/>
  <c r="O35" i="46"/>
  <c r="N19" i="30"/>
  <c r="F61" i="84"/>
  <c r="N20" i="34"/>
  <c r="K23" i="32"/>
  <c r="K31" i="49"/>
  <c r="L59" i="39"/>
  <c r="N67" i="76"/>
  <c r="O92" i="51"/>
  <c r="J20" i="47"/>
  <c r="E91" i="91"/>
  <c r="J15" i="58"/>
  <c r="E49" i="85"/>
  <c r="I91" i="58"/>
  <c r="K31" i="51"/>
  <c r="J55" i="87"/>
  <c r="N64" i="68"/>
  <c r="D86" i="50"/>
  <c r="H85" i="40"/>
  <c r="E34" i="79"/>
  <c r="D54" i="83"/>
  <c r="H94" i="73"/>
  <c r="D42" i="57"/>
  <c r="E54" i="41"/>
  <c r="F57" i="70"/>
  <c r="G73" i="71"/>
  <c r="I10" i="84"/>
  <c r="J55" i="44"/>
  <c r="G106" i="86"/>
  <c r="N88" i="67"/>
  <c r="E80" i="53"/>
  <c r="G107" i="64"/>
  <c r="O59" i="90"/>
  <c r="L38" i="27"/>
  <c r="K34" i="48"/>
  <c r="E6" i="59"/>
  <c r="L56" i="81"/>
  <c r="J10" i="72"/>
  <c r="J23" i="46"/>
  <c r="N95" i="43"/>
  <c r="D57" i="86"/>
  <c r="K28" i="33"/>
  <c r="L43" i="49"/>
  <c r="M52" i="30"/>
  <c r="J17" i="90"/>
  <c r="N100" i="93"/>
  <c r="J24" i="77"/>
  <c r="D31" i="54"/>
  <c r="M82" i="63"/>
  <c r="G76" i="38"/>
  <c r="I35" i="78"/>
  <c r="M21" i="80"/>
  <c r="I37" i="41"/>
  <c r="L48" i="74"/>
  <c r="E6" i="78"/>
  <c r="O22" i="76"/>
  <c r="G39" i="92"/>
  <c r="K91" i="19"/>
  <c r="J71" i="33"/>
  <c r="D14" i="55"/>
  <c r="F65" i="92"/>
  <c r="G13" i="82"/>
  <c r="H26" i="81"/>
  <c r="K28" i="71"/>
  <c r="M106" i="64"/>
  <c r="I67" i="70"/>
  <c r="I103" i="76"/>
  <c r="M80" i="56"/>
  <c r="J44" i="32"/>
  <c r="K26" i="64"/>
  <c r="I71" i="70"/>
  <c r="N33" i="77"/>
  <c r="J70" i="94"/>
  <c r="N10" i="84"/>
  <c r="J42" i="80"/>
  <c r="E26" i="46"/>
  <c r="J35" i="67"/>
  <c r="K35" i="40"/>
  <c r="I106" i="52"/>
  <c r="F18" i="62"/>
  <c r="O41" i="25"/>
  <c r="G18" i="38"/>
  <c r="N56" i="70"/>
  <c r="D18" i="65"/>
  <c r="J88" i="86"/>
  <c r="H28" i="40"/>
  <c r="O21" i="27"/>
  <c r="F67" i="69"/>
  <c r="L45" i="41"/>
  <c r="X22" i="96"/>
  <c r="M43" i="45"/>
  <c r="L53" i="86"/>
  <c r="G42" i="64"/>
  <c r="H50" i="54"/>
  <c r="D36" i="89"/>
  <c r="F24" i="69"/>
  <c r="D65" i="26"/>
  <c r="E6" i="90"/>
  <c r="J31" i="76"/>
  <c r="D80" i="46"/>
  <c r="O91" i="68"/>
  <c r="M8" i="54"/>
  <c r="K11" i="65"/>
  <c r="I103" i="89"/>
  <c r="M41" i="55"/>
  <c r="H12" i="92"/>
  <c r="D11" i="68"/>
  <c r="K51" i="39"/>
  <c r="K57" i="64"/>
  <c r="D100" i="51"/>
  <c r="M50" i="93"/>
  <c r="L58" i="54"/>
  <c r="G50" i="41"/>
  <c r="D25" i="58"/>
  <c r="E89" i="36"/>
  <c r="K73" i="25"/>
  <c r="I55" i="65"/>
  <c r="F34" i="46"/>
  <c r="M36" i="65"/>
  <c r="E53" i="67"/>
  <c r="I89" i="81"/>
  <c r="L5" i="87"/>
  <c r="G57" i="78"/>
  <c r="L8" i="70"/>
  <c r="J21" i="94"/>
  <c r="I53" i="29"/>
  <c r="D22" i="93"/>
  <c r="J74" i="34"/>
  <c r="J48" i="81"/>
  <c r="N92" i="69"/>
  <c r="D98" i="94"/>
  <c r="E37" i="40"/>
  <c r="K100" i="69"/>
  <c r="J107"/>
  <c r="M55" i="65"/>
  <c r="I68" i="93"/>
  <c r="G33" i="52"/>
  <c r="D14" i="30"/>
  <c r="I103" i="74"/>
  <c r="K4" i="65"/>
  <c r="J11" i="94"/>
  <c r="F59" i="45"/>
  <c r="N95" i="19"/>
  <c r="O62" i="69"/>
  <c r="L27" i="39"/>
  <c r="O76" i="89"/>
  <c r="F20" i="30"/>
  <c r="G45" i="36"/>
  <c r="G80" i="72"/>
  <c r="F46" i="35"/>
  <c r="K36" i="80"/>
  <c r="N45" i="72"/>
  <c r="I54" i="58"/>
  <c r="M40" i="40"/>
  <c r="L68" i="59"/>
  <c r="O44" i="91"/>
  <c r="O25" i="66"/>
  <c r="K45" i="36"/>
  <c r="D37" i="91"/>
  <c r="H59" i="39"/>
  <c r="M101" i="92"/>
  <c r="I19" i="47"/>
  <c r="H9" i="58"/>
  <c r="J27" i="62"/>
  <c r="M39" i="26"/>
  <c r="F5" i="74"/>
  <c r="G58" i="79"/>
  <c r="O19" i="54"/>
  <c r="O95" i="65"/>
  <c r="J35" i="92"/>
  <c r="I55" i="63"/>
  <c r="I43" i="52"/>
  <c r="N49" i="94"/>
  <c r="N74" i="69"/>
  <c r="D40" i="41"/>
  <c r="H7" i="46"/>
  <c r="L74" i="44"/>
  <c r="F12" i="25"/>
  <c r="D12" i="92"/>
  <c r="H85" i="81"/>
  <c r="J13" i="48"/>
  <c r="F100" i="83"/>
  <c r="I74" i="51"/>
  <c r="L57" i="94"/>
  <c r="H85" i="69"/>
  <c r="G41" i="63"/>
  <c r="G23" i="36"/>
  <c r="O39" i="35"/>
  <c r="O74" i="19"/>
  <c r="O53" i="59"/>
  <c r="K41" i="93"/>
  <c r="J21" i="58"/>
  <c r="CL67" i="3"/>
  <c r="G101" i="62"/>
  <c r="F27" i="82"/>
  <c r="D67" i="74"/>
  <c r="E71" i="40"/>
  <c r="M8" i="30"/>
  <c r="E23" i="33"/>
  <c r="D86"/>
  <c r="D61" i="48"/>
  <c r="F77" i="50"/>
  <c r="H106"/>
  <c r="M58" i="94"/>
  <c r="N37" i="47"/>
  <c r="E91" i="64"/>
  <c r="J13" i="86"/>
  <c r="D97" i="87"/>
  <c r="M71" i="68"/>
  <c r="CE76" i="3"/>
  <c r="F36" i="67"/>
  <c r="N58" i="93"/>
  <c r="J32" i="48"/>
  <c r="E92" i="39"/>
  <c r="M45" i="91"/>
  <c r="I100" i="34"/>
  <c r="E71" i="70"/>
  <c r="F107" i="74"/>
  <c r="E15" i="84"/>
  <c r="H77" i="39"/>
  <c r="D92" i="27"/>
  <c r="K35" i="56"/>
  <c r="J38" i="57"/>
  <c r="L41" i="72"/>
  <c r="N82" i="90"/>
  <c r="D24" i="68"/>
  <c r="N20" i="19"/>
  <c r="M26"/>
  <c r="H58" i="62"/>
  <c r="J76" i="44"/>
  <c r="G73" i="89"/>
  <c r="I31" i="48"/>
  <c r="F50" i="34"/>
  <c r="E17" i="93"/>
  <c r="I35" i="49"/>
  <c r="L94" i="68"/>
  <c r="J67" i="43"/>
  <c r="K39" i="87"/>
  <c r="H5" i="84"/>
  <c r="J15" i="53"/>
  <c r="N17" i="66"/>
  <c r="E79" i="90"/>
  <c r="M46" i="38"/>
  <c r="H86" i="87"/>
  <c r="L33" i="64"/>
  <c r="K12" i="29"/>
  <c r="D41" i="62"/>
  <c r="I10" i="67"/>
  <c r="K97" i="26"/>
  <c r="K54" i="59"/>
  <c r="D85" i="61"/>
  <c r="F104" i="43"/>
  <c r="M51" i="86"/>
  <c r="H45" i="43"/>
  <c r="G11" i="82"/>
  <c r="D6" i="26"/>
  <c r="D37" i="32"/>
  <c r="O17" i="60"/>
  <c r="E88" i="33"/>
  <c r="E103" i="68"/>
  <c r="I28" i="52"/>
  <c r="K55" i="27"/>
  <c r="K47" i="36"/>
  <c r="L32" i="65"/>
  <c r="J74" i="19"/>
  <c r="G40"/>
  <c r="M98" i="68"/>
  <c r="H104" i="81"/>
  <c r="L27" i="57"/>
  <c r="J34" i="69"/>
  <c r="G94" i="73"/>
  <c r="O10" i="41"/>
  <c r="M51" i="93"/>
  <c r="K70" i="62"/>
  <c r="J7" i="49"/>
  <c r="D73" i="54"/>
  <c r="I71" i="49"/>
  <c r="E8" i="33"/>
  <c r="F77" i="25"/>
  <c r="D62" i="82"/>
  <c r="D25" i="93"/>
  <c r="E35" i="43"/>
  <c r="F70" i="89"/>
  <c r="M74" i="43"/>
  <c r="G73" i="76"/>
  <c r="J53" i="82"/>
  <c r="N95" i="47"/>
  <c r="O95" i="30"/>
  <c r="H101" i="93"/>
  <c r="F50" i="84"/>
  <c r="H47" i="63"/>
  <c r="L23" i="76"/>
  <c r="O29" i="68"/>
  <c r="E45" i="39"/>
  <c r="G65" i="81"/>
  <c r="E42" i="61"/>
  <c r="I12" i="19"/>
  <c r="G82" i="36"/>
  <c r="N53" i="83"/>
  <c r="D64" i="44"/>
  <c r="G61" i="32"/>
  <c r="E104" i="45"/>
  <c r="K89" i="26"/>
  <c r="I80" i="62"/>
  <c r="D74" i="33"/>
  <c r="L100" i="89"/>
  <c r="L107" i="75"/>
  <c r="E85" i="94"/>
  <c r="M38" i="90"/>
  <c r="J31" i="70"/>
  <c r="I7" i="59"/>
  <c r="F17" i="53"/>
  <c r="J80" i="41"/>
  <c r="L21" i="35"/>
  <c r="J55" i="59"/>
  <c r="F98" i="50"/>
  <c r="H91" i="58"/>
  <c r="I4" i="54"/>
  <c r="M24" i="51"/>
  <c r="J35" i="39"/>
  <c r="K8" i="80"/>
  <c r="M18" i="67"/>
  <c r="K62" i="75"/>
  <c r="I61" i="67"/>
  <c r="I53" i="60"/>
  <c r="H24" i="19"/>
  <c r="J23" i="65"/>
  <c r="F80" i="80"/>
  <c r="L26" i="77"/>
  <c r="D27" i="71"/>
  <c r="N16" i="55"/>
  <c r="G26" i="46"/>
  <c r="N10" i="72"/>
  <c r="N59" i="64"/>
  <c r="I41" i="80"/>
  <c r="L98" i="76"/>
  <c r="N23" i="47"/>
  <c r="F36" i="69"/>
  <c r="F5" i="81"/>
  <c r="G51" i="61"/>
  <c r="O33" i="25"/>
  <c r="M10" i="72"/>
  <c r="M70" i="75"/>
  <c r="I4" i="66"/>
  <c r="N24" i="78"/>
  <c r="G14" i="54"/>
  <c r="G100" i="66"/>
  <c r="G65" i="53"/>
  <c r="G79" i="56"/>
  <c r="L49" i="32"/>
  <c r="E76" i="73"/>
  <c r="D73" i="70"/>
  <c r="I24" i="27"/>
  <c r="F24" i="52"/>
  <c r="I53" i="47"/>
  <c r="I101" i="19"/>
  <c r="K56" i="26"/>
  <c r="I103" i="59"/>
  <c r="O56" i="67"/>
  <c r="F8" i="26"/>
  <c r="M14" i="49"/>
  <c r="E30" i="27"/>
  <c r="H59" i="82"/>
  <c r="G58" i="47"/>
  <c r="H95" i="52"/>
  <c r="F80" i="73"/>
  <c r="K28" i="27"/>
  <c r="M77" i="83"/>
  <c r="H65" i="94"/>
  <c r="M88" i="59"/>
  <c r="N73" i="89"/>
  <c r="F16" i="70"/>
  <c r="L15" i="36"/>
  <c r="E23" i="51"/>
  <c r="I83" i="94"/>
  <c r="M27" i="58"/>
  <c r="O16" i="43"/>
  <c r="I16" i="77"/>
  <c r="L6" i="58"/>
  <c r="F71" i="83"/>
  <c r="J16" i="69"/>
  <c r="O19" i="68"/>
  <c r="D18" i="75"/>
  <c r="H92" i="34"/>
  <c r="M24" i="68"/>
  <c r="M107" i="81"/>
  <c r="E6" i="26"/>
  <c r="D40" i="64"/>
  <c r="K18" i="87"/>
  <c r="L58" i="63"/>
  <c r="L70" i="33"/>
  <c r="F73" i="51"/>
  <c r="L106" i="86"/>
  <c r="D82" i="81"/>
  <c r="I76" i="26"/>
  <c r="D62" i="50"/>
  <c r="L104" i="40"/>
  <c r="K33" i="91"/>
  <c r="I21" i="33"/>
  <c r="L68" i="61"/>
  <c r="J40" i="66"/>
  <c r="G14" i="81"/>
  <c r="K41" i="90"/>
  <c r="G29" i="62"/>
  <c r="F44" i="85"/>
  <c r="O67" i="82"/>
  <c r="H36" i="29"/>
  <c r="H89" i="43"/>
  <c r="H83" i="56"/>
  <c r="L20" i="59"/>
  <c r="E34" i="94"/>
  <c r="O44" i="70"/>
  <c r="D88" i="61"/>
  <c r="D83" i="77"/>
  <c r="I39" i="53"/>
  <c r="E8" i="55"/>
  <c r="G9" i="46"/>
  <c r="N19" i="19"/>
  <c r="I26" i="68"/>
  <c r="H20" i="79"/>
  <c r="H6" i="76"/>
  <c r="I50" i="89"/>
  <c r="M8" i="74"/>
  <c r="I26" i="67"/>
  <c r="F38" i="91"/>
  <c r="D8" i="80"/>
  <c r="F30" i="69"/>
  <c r="E61" i="93"/>
  <c r="F56" i="61"/>
  <c r="G5"/>
  <c r="N10" i="91"/>
  <c r="F44" i="51"/>
  <c r="L62" i="81"/>
  <c r="D15" i="74"/>
  <c r="F17" i="75"/>
  <c r="M39" i="83"/>
  <c r="L52" i="69"/>
  <c r="O24" i="49"/>
  <c r="N104" i="34"/>
  <c r="M25" i="25"/>
  <c r="F19" i="30"/>
  <c r="I20" i="78"/>
  <c r="N37" i="32"/>
  <c r="D26" i="41"/>
  <c r="K56" i="64"/>
  <c r="F104" i="32"/>
  <c r="M4" i="55"/>
  <c r="G27" i="32"/>
  <c r="J37" i="92"/>
  <c r="H8" i="41"/>
  <c r="D103" i="26"/>
  <c r="E97" i="89"/>
  <c r="O8" i="65"/>
  <c r="E46" i="61"/>
  <c r="O92" i="74"/>
  <c r="M7" i="27"/>
  <c r="N104" i="73"/>
  <c r="F12" i="80"/>
  <c r="F53" i="55"/>
  <c r="I52" i="76"/>
  <c r="K35" i="35"/>
  <c r="K15" i="55"/>
  <c r="K70" i="44"/>
  <c r="M42" i="94"/>
  <c r="I76" i="46"/>
  <c r="J88" i="67"/>
  <c r="K24" i="90"/>
  <c r="H34" i="76"/>
  <c r="G79" i="68"/>
  <c r="M10" i="62"/>
  <c r="N15" i="59"/>
  <c r="I59" i="92"/>
  <c r="H64" i="76"/>
  <c r="M48" i="67"/>
  <c r="O70" i="33"/>
  <c r="J18" i="53"/>
  <c r="D16" i="63"/>
  <c r="J56"/>
  <c r="D26" i="44"/>
  <c r="I70" i="80"/>
  <c r="G21" i="77"/>
  <c r="D50" i="35"/>
  <c r="H49" i="50"/>
  <c r="I38" i="44"/>
  <c r="H54" i="41"/>
  <c r="N33" i="30"/>
  <c r="F101" i="70"/>
  <c r="I97" i="77"/>
  <c r="F74" i="36"/>
  <c r="G86" i="58"/>
  <c r="D38" i="32"/>
  <c r="M50" i="25"/>
  <c r="H27" i="66"/>
  <c r="F15" i="61"/>
  <c r="F38" i="66"/>
  <c r="L86" i="25"/>
  <c r="I42" i="48"/>
  <c r="J83" i="74"/>
  <c r="G104" i="59"/>
  <c r="E64" i="92"/>
  <c r="L61" i="25"/>
  <c r="G17" i="29"/>
  <c r="M16" i="69"/>
  <c r="O8" i="44"/>
  <c r="O56" i="75"/>
  <c r="F101" i="49"/>
  <c r="N62" i="82"/>
  <c r="N50" i="46"/>
  <c r="H71" i="34"/>
  <c r="H12" i="62"/>
  <c r="H70" i="35"/>
  <c r="I32" i="51"/>
  <c r="J10" i="48"/>
  <c r="N62" i="76"/>
  <c r="F9" i="92"/>
  <c r="G12" i="30"/>
  <c r="D7" i="38"/>
  <c r="I53" i="70"/>
  <c r="J51" i="63"/>
  <c r="O9" i="81"/>
  <c r="I98" i="63"/>
  <c r="D55" i="45"/>
  <c r="K57" i="73"/>
  <c r="M77" i="77"/>
  <c r="E28" i="65"/>
  <c r="D59" i="74"/>
  <c r="E101" i="79"/>
  <c r="D10"/>
  <c r="G101" i="84"/>
  <c r="N39"/>
  <c r="O35" i="77"/>
  <c r="L62" i="49"/>
  <c r="E68" i="58"/>
  <c r="K100" i="32"/>
  <c r="K14" i="49"/>
  <c r="G91" i="58"/>
  <c r="H56" i="47"/>
  <c r="F92" i="72"/>
  <c r="H7" i="35"/>
  <c r="N74" i="92"/>
  <c r="G83" i="74"/>
  <c r="E17" i="90"/>
  <c r="G15"/>
  <c r="H80" i="51"/>
  <c r="G57" i="40"/>
  <c r="G92" i="71"/>
  <c r="I55" i="74"/>
  <c r="E21" i="82"/>
  <c r="H48" i="39"/>
  <c r="D42" i="90"/>
  <c r="F92" i="92"/>
  <c r="E47" i="86"/>
  <c r="L85" i="92"/>
  <c r="M46" i="77"/>
  <c r="M24" i="76"/>
  <c r="F15" i="55"/>
  <c r="N61" i="80"/>
  <c r="J52"/>
  <c r="L7" i="72"/>
  <c r="H18" i="71"/>
  <c r="M107" i="86"/>
  <c r="I23" i="63"/>
  <c r="H18" i="83"/>
  <c r="M86" i="32"/>
  <c r="L18" i="70"/>
  <c r="N101" i="92"/>
  <c r="F36" i="62"/>
  <c r="I68" i="30"/>
  <c r="G92" i="51"/>
  <c r="I79" i="72"/>
  <c r="J26" i="46"/>
  <c r="G59" i="71"/>
  <c r="K88" i="86"/>
  <c r="E71" i="66"/>
  <c r="O38" i="59"/>
  <c r="H26" i="68"/>
  <c r="M41" i="82"/>
  <c r="D88" i="59"/>
  <c r="K100" i="68"/>
  <c r="K23" i="26"/>
  <c r="O20" i="78"/>
  <c r="H39" i="69"/>
  <c r="I32" i="19"/>
  <c r="N70" i="55"/>
  <c r="F47" i="41"/>
  <c r="L68" i="56"/>
  <c r="E47" i="66"/>
  <c r="F15" i="84"/>
  <c r="I10" i="58"/>
  <c r="E74" i="80"/>
  <c r="M4" i="60"/>
  <c r="K92" i="75"/>
  <c r="L47" i="33"/>
  <c r="J22" i="34"/>
  <c r="G29" i="47"/>
  <c r="F40" i="43"/>
  <c r="D28" i="82"/>
  <c r="F54" i="68"/>
  <c r="K36" i="71"/>
  <c r="O58" i="55"/>
  <c r="D56" i="62"/>
  <c r="H25" i="44"/>
  <c r="E23" i="32"/>
  <c r="I95" i="54"/>
  <c r="K35" i="43"/>
  <c r="M20"/>
  <c r="N82" i="54"/>
  <c r="L79" i="66"/>
  <c r="I8" i="40"/>
  <c r="M101" i="94"/>
  <c r="E98" i="73"/>
  <c r="F61" i="57"/>
  <c r="L91" i="69"/>
  <c r="I100" i="26"/>
  <c r="L39" i="77"/>
  <c r="D4" i="41"/>
  <c r="H22" i="68"/>
  <c r="I29" i="66"/>
  <c r="K100" i="72"/>
  <c r="I70" i="76"/>
  <c r="E19" i="62"/>
  <c r="N67" i="47"/>
  <c r="N44" i="57"/>
  <c r="K16" i="33"/>
  <c r="I38" i="29"/>
  <c r="M95" i="73"/>
  <c r="G43" i="91"/>
  <c r="D64" i="55"/>
  <c r="L106" i="84"/>
  <c r="I4" i="86"/>
  <c r="E67" i="73"/>
  <c r="N83" i="66"/>
  <c r="I6" i="92"/>
  <c r="I49" i="94"/>
  <c r="N27" i="34"/>
  <c r="F35"/>
  <c r="E98" i="87"/>
  <c r="J10" i="78"/>
  <c r="E41" i="70"/>
  <c r="O88" i="45"/>
  <c r="F17" i="35"/>
  <c r="O15" i="36"/>
  <c r="D7" i="80"/>
  <c r="O58" i="53"/>
  <c r="I77" i="80"/>
  <c r="G92" i="39"/>
  <c r="G46" i="82"/>
  <c r="M6" i="89"/>
  <c r="H76" i="26"/>
  <c r="I10" i="78"/>
  <c r="N67" i="67"/>
  <c r="D94" i="86"/>
  <c r="I51" i="60"/>
  <c r="M12" i="33"/>
  <c r="F56" i="72"/>
  <c r="M29" i="77"/>
  <c r="I42" i="41"/>
  <c r="D14" i="43"/>
  <c r="G44" i="80"/>
  <c r="O59" i="46"/>
  <c r="E26" i="60"/>
  <c r="J22" i="49"/>
  <c r="K47" i="44"/>
  <c r="I17" i="60"/>
  <c r="M94" i="83"/>
  <c r="J39" i="87"/>
  <c r="D73" i="34"/>
  <c r="J67" i="36"/>
  <c r="J100" i="32"/>
  <c r="M43" i="68"/>
  <c r="K55" i="62"/>
  <c r="D12" i="26"/>
  <c r="D58" i="68"/>
  <c r="M104" i="76"/>
  <c r="D28" i="84"/>
  <c r="L106" i="35"/>
  <c r="G31" i="38"/>
  <c r="D10" i="50"/>
  <c r="E65" i="73"/>
  <c r="M45" i="61"/>
  <c r="N16" i="43"/>
  <c r="I92" i="32"/>
  <c r="F92" i="56"/>
  <c r="K4" i="54"/>
  <c r="M6" i="64"/>
  <c r="I106" i="80"/>
  <c r="E40" i="65"/>
  <c r="G46" i="47"/>
  <c r="J5" i="36"/>
  <c r="F80" i="34"/>
  <c r="I92" i="79"/>
  <c r="E41" i="76"/>
  <c r="F58" i="69"/>
  <c r="J33" i="82"/>
  <c r="M47" i="81"/>
  <c r="J15" i="43"/>
  <c r="H67" i="45"/>
  <c r="K7" i="87"/>
  <c r="I76" i="29"/>
  <c r="L53" i="67"/>
  <c r="K11" i="25"/>
  <c r="N5" i="64"/>
  <c r="J103" i="34"/>
  <c r="H29" i="74"/>
  <c r="O41" i="39"/>
  <c r="F107" i="81"/>
  <c r="J55" i="75"/>
  <c r="L26" i="44"/>
  <c r="N68" i="92"/>
  <c r="M45" i="35"/>
  <c r="F16" i="47"/>
  <c r="F76" i="69"/>
  <c r="D103" i="62"/>
  <c r="J58" i="54"/>
  <c r="G71" i="39"/>
  <c r="E26" i="72"/>
  <c r="G106" i="51"/>
  <c r="L42" i="27"/>
  <c r="N57"/>
  <c r="H44" i="42"/>
  <c r="K39" i="93"/>
  <c r="N10" i="54"/>
  <c r="O77" i="38"/>
  <c r="N80" i="78"/>
  <c r="E106" i="77"/>
  <c r="L7" i="94"/>
  <c r="I49" i="93"/>
  <c r="G62" i="90"/>
  <c r="N18" i="65"/>
  <c r="O46" i="48"/>
  <c r="E77" i="71"/>
  <c r="F77" i="57"/>
  <c r="M43" i="49"/>
  <c r="M106" i="86"/>
  <c r="O50" i="62"/>
  <c r="G12" i="76"/>
  <c r="O64" i="60"/>
  <c r="G6" i="45"/>
  <c r="F12" i="35"/>
  <c r="J51" i="73"/>
  <c r="K103" i="74"/>
  <c r="G79" i="40"/>
  <c r="E20" i="41"/>
  <c r="K50" i="48"/>
  <c r="M44" i="33"/>
  <c r="J59" i="25"/>
  <c r="I51" i="56"/>
  <c r="N33" i="76"/>
  <c r="I106" i="35"/>
  <c r="D92" i="86"/>
  <c r="N50" i="34"/>
  <c r="L7" i="65"/>
  <c r="M82" i="36"/>
  <c r="O6" i="81"/>
  <c r="L30" i="75"/>
  <c r="E37" i="91"/>
  <c r="D44" i="48"/>
  <c r="L56" i="44"/>
  <c r="N9" i="61"/>
  <c r="F68" i="64"/>
  <c r="N97" i="25"/>
  <c r="I27" i="79"/>
  <c r="H67" i="49"/>
  <c r="G14" i="84"/>
  <c r="D5" i="75"/>
  <c r="G6" i="79"/>
  <c r="N45" i="53"/>
  <c r="D68" i="47"/>
  <c r="N19" i="83"/>
  <c r="H27" i="72"/>
  <c r="F103" i="65"/>
  <c r="J40" i="38"/>
  <c r="D94" i="82"/>
  <c r="L46" i="68"/>
  <c r="H39" i="49"/>
  <c r="E83" i="54"/>
  <c r="L4" i="19"/>
  <c r="CI26" i="3" s="1"/>
  <c r="I6" i="55"/>
  <c r="H103" i="44"/>
  <c r="J23" i="57"/>
  <c r="J12" i="64"/>
  <c r="M67" i="78"/>
  <c r="L22" i="72"/>
  <c r="F94" i="26"/>
  <c r="N61" i="58"/>
  <c r="M40" i="65"/>
  <c r="I106" i="57"/>
  <c r="D57" i="40"/>
  <c r="N31"/>
  <c r="D57" i="73"/>
  <c r="L36" i="80"/>
  <c r="K28" i="29"/>
  <c r="I23" i="84"/>
  <c r="D67" i="91"/>
  <c r="D16" i="76"/>
  <c r="J41" i="67"/>
  <c r="L39" i="69"/>
  <c r="O68" i="30"/>
  <c r="L29" i="94"/>
  <c r="E106" i="92"/>
  <c r="J34" i="74"/>
  <c r="O40" i="66"/>
  <c r="H83" i="49"/>
  <c r="I52" i="48"/>
  <c r="O46" i="72"/>
  <c r="M92" i="33"/>
  <c r="H14" i="19"/>
  <c r="J25" i="57"/>
  <c r="I101" i="26"/>
  <c r="F61" i="33"/>
  <c r="I41" i="29"/>
  <c r="G17" i="41"/>
  <c r="I77" i="60"/>
  <c r="M47" i="63"/>
  <c r="O37" i="64"/>
  <c r="G107" i="25"/>
  <c r="H49" i="47"/>
  <c r="M39" i="33"/>
  <c r="L73" i="45"/>
  <c r="F48" i="40"/>
  <c r="M82" i="82"/>
  <c r="O28" i="38"/>
  <c r="I82" i="68"/>
  <c r="K20" i="32"/>
  <c r="J8" i="90"/>
  <c r="N28" i="71"/>
  <c r="L107" i="63"/>
  <c r="N22" i="84"/>
  <c r="L101" i="57"/>
  <c r="G52" i="54"/>
  <c r="H103" i="65"/>
  <c r="K49" i="49"/>
  <c r="H28" i="26"/>
  <c r="D46" i="25"/>
  <c r="J13" i="54"/>
  <c r="D21" i="46"/>
  <c r="J88" i="50"/>
  <c r="N6" i="43"/>
  <c r="L74" i="26"/>
  <c r="E16" i="40"/>
  <c r="F67" i="39"/>
  <c r="L21" i="38"/>
  <c r="E62" i="66"/>
  <c r="K34" i="38"/>
  <c r="G5" i="53"/>
  <c r="M28" i="84"/>
  <c r="G9" i="86"/>
  <c r="M11" i="75"/>
  <c r="F100" i="51"/>
  <c r="E58" i="63"/>
  <c r="D22" i="19"/>
  <c r="N53" i="56"/>
  <c r="O103" i="38"/>
  <c r="G23" i="45"/>
  <c r="N92" i="47"/>
  <c r="G107" i="68"/>
  <c r="O100" i="59"/>
  <c r="K51" i="90"/>
  <c r="E44" i="71"/>
  <c r="D13" i="34"/>
  <c r="J31" i="64"/>
  <c r="O92" i="65"/>
  <c r="O43" i="76"/>
  <c r="K16" i="19"/>
  <c r="M58" i="53"/>
  <c r="E83" i="81"/>
  <c r="G13" i="76"/>
  <c r="D95" i="32"/>
  <c r="L44" i="41"/>
  <c r="K85" i="62"/>
  <c r="L85" i="48"/>
  <c r="D79" i="84"/>
  <c r="J26" i="59"/>
  <c r="M37" i="39"/>
  <c r="L80" i="66"/>
  <c r="K18" i="84"/>
  <c r="M44" i="38"/>
  <c r="I41" i="65"/>
  <c r="K56" i="72"/>
  <c r="K27" i="55"/>
  <c r="M89" i="38"/>
  <c r="N29" i="26"/>
  <c r="O10" i="44"/>
  <c r="E34" i="71"/>
  <c r="G10" i="55"/>
  <c r="E53" i="47"/>
  <c r="M50" i="81"/>
  <c r="I55" i="76"/>
  <c r="J76"/>
  <c r="E61" i="46"/>
  <c r="D34" i="60"/>
  <c r="O104" i="39"/>
  <c r="O28" i="92"/>
  <c r="I43" i="93"/>
  <c r="H85" i="55"/>
  <c r="J47" i="64"/>
  <c r="L83" i="46"/>
  <c r="G70" i="33"/>
  <c r="M53" i="47"/>
  <c r="J76" i="49"/>
  <c r="M41" i="43"/>
  <c r="G8" i="58"/>
  <c r="D29" i="71"/>
  <c r="K73" i="44"/>
  <c r="L35" i="80"/>
  <c r="M24" i="29"/>
  <c r="N41" i="30"/>
  <c r="J9" i="69"/>
  <c r="M94" i="93"/>
  <c r="L64" i="41"/>
  <c r="K14" i="62"/>
  <c r="G100" i="67"/>
  <c r="M23" i="80"/>
  <c r="L71" i="36"/>
  <c r="O82" i="35"/>
  <c r="K48" i="89"/>
  <c r="M6" i="55"/>
  <c r="E35" i="64"/>
  <c r="G77" i="73"/>
  <c r="E34" i="87"/>
  <c r="M97" i="93"/>
  <c r="I44" i="85"/>
  <c r="L35" i="75"/>
  <c r="G27" i="46"/>
  <c r="E37" i="35"/>
  <c r="D79" i="51"/>
  <c r="I42" i="73"/>
  <c r="O47" i="84"/>
  <c r="N89" i="57"/>
  <c r="G38" i="56"/>
  <c r="O103" i="57"/>
  <c r="O56" i="70"/>
  <c r="E37" i="77"/>
  <c r="H71" i="68"/>
  <c r="D74" i="48"/>
  <c r="M19" i="63"/>
  <c r="I8" i="44"/>
  <c r="I31" i="46"/>
  <c r="D80" i="39"/>
  <c r="H64" i="54"/>
  <c r="O36" i="49"/>
  <c r="I56" i="60"/>
  <c r="I28" i="66"/>
  <c r="D64" i="40"/>
  <c r="F4" i="50"/>
  <c r="O22" i="93"/>
  <c r="N82" i="82"/>
  <c r="D21" i="94"/>
  <c r="J17" i="75"/>
  <c r="N62" i="83"/>
  <c r="F68" i="85"/>
  <c r="E79" i="42"/>
  <c r="J15" i="74"/>
  <c r="E50" i="50"/>
  <c r="J58" i="30"/>
  <c r="D52" i="83"/>
  <c r="L71" i="51"/>
  <c r="F30" i="38"/>
  <c r="N104" i="93"/>
  <c r="K106" i="66"/>
  <c r="G98" i="59"/>
  <c r="N20" i="91"/>
  <c r="I9" i="92"/>
  <c r="D97" i="49"/>
  <c r="H31" i="71"/>
  <c r="I14" i="70"/>
  <c r="M64" i="74"/>
  <c r="J86" i="30"/>
  <c r="N71" i="41"/>
  <c r="F23" i="26"/>
  <c r="K32" i="91"/>
  <c r="K74" i="89"/>
  <c r="D53" i="78"/>
  <c r="J61" i="61"/>
  <c r="I92" i="68"/>
  <c r="K92" i="93"/>
  <c r="O55" i="57"/>
  <c r="K103" i="30"/>
  <c r="D94" i="48"/>
  <c r="J80" i="59"/>
  <c r="J55" i="66"/>
  <c r="D70" i="59"/>
  <c r="M52" i="25"/>
  <c r="K31" i="59"/>
  <c r="L89" i="93"/>
  <c r="N61" i="62"/>
  <c r="H103" i="72"/>
  <c r="H82" i="53"/>
  <c r="J41" i="47"/>
  <c r="D61" i="19"/>
  <c r="I80" i="57"/>
  <c r="N98" i="33"/>
  <c r="D79" i="35"/>
  <c r="L45" i="77"/>
  <c r="I30" i="70"/>
  <c r="H26" i="44"/>
  <c r="E17" i="58"/>
  <c r="D51" i="65"/>
  <c r="I107" i="66"/>
  <c r="L62" i="76"/>
  <c r="J36" i="27"/>
  <c r="D106" i="29"/>
  <c r="F28" i="39"/>
  <c r="F95" i="80"/>
  <c r="O103" i="83"/>
  <c r="D34" i="19"/>
  <c r="C21" i="22" s="1"/>
  <c r="O70" i="66"/>
  <c r="F47" i="89"/>
  <c r="M54" i="60"/>
  <c r="E95" i="82"/>
  <c r="N18" i="60"/>
  <c r="F12" i="68"/>
  <c r="O68" i="91"/>
  <c r="J52" i="34"/>
  <c r="J19" i="93"/>
  <c r="L45" i="80"/>
  <c r="F61" i="65"/>
  <c r="I24" i="77"/>
  <c r="I57" i="82"/>
  <c r="K70" i="77"/>
  <c r="E33" i="32"/>
  <c r="E100" i="76"/>
  <c r="K53" i="51"/>
  <c r="D40" i="53"/>
  <c r="J50" i="63"/>
  <c r="H4" i="87"/>
  <c r="D42" i="70"/>
  <c r="E101" i="52"/>
  <c r="M24" i="94"/>
  <c r="F95" i="30"/>
  <c r="K79" i="61"/>
  <c r="M68" i="59"/>
  <c r="E92" i="69"/>
  <c r="D12" i="71"/>
  <c r="L10" i="66"/>
  <c r="F14" i="65"/>
  <c r="I17" i="86"/>
  <c r="M59" i="72"/>
  <c r="K65"/>
  <c r="D106" i="26"/>
  <c r="L106" i="78"/>
  <c r="J67" i="68"/>
  <c r="N88" i="58"/>
  <c r="I39" i="93"/>
  <c r="D68" i="79"/>
  <c r="L50" i="94"/>
  <c r="O101" i="81"/>
  <c r="K65" i="29"/>
  <c r="N45" i="78"/>
  <c r="F98" i="61"/>
  <c r="M33" i="30"/>
  <c r="F43" i="66"/>
  <c r="M59" i="46"/>
  <c r="I37" i="82"/>
  <c r="M58" i="45"/>
  <c r="G53" i="46"/>
  <c r="L56" i="27"/>
  <c r="K98" i="51"/>
  <c r="I11" i="45"/>
  <c r="F100" i="19"/>
  <c r="K53" i="70"/>
  <c r="F34" i="62"/>
  <c r="N67" i="89"/>
  <c r="K21" i="49"/>
  <c r="M73" i="36"/>
  <c r="N79" i="72"/>
  <c r="K7" i="91"/>
  <c r="K67" i="38"/>
  <c r="J15" i="57"/>
  <c r="K4" i="69"/>
  <c r="G35" i="73"/>
  <c r="E43" i="27"/>
  <c r="G59" i="57"/>
  <c r="F9" i="46"/>
  <c r="F58" i="33"/>
  <c r="M52" i="83"/>
  <c r="J29" i="53"/>
  <c r="E28" i="70"/>
  <c r="L86" i="91"/>
  <c r="M44" i="39"/>
  <c r="E4" i="57"/>
  <c r="M71" i="53"/>
  <c r="K17" i="74"/>
  <c r="I47" i="73"/>
  <c r="F11" i="85"/>
  <c r="O89" i="66"/>
  <c r="L32" i="48"/>
  <c r="J43" i="94"/>
  <c r="G59" i="68"/>
  <c r="O8" i="39"/>
  <c r="H86" i="68"/>
  <c r="J53" i="30"/>
  <c r="G34" i="36"/>
  <c r="H52" i="56"/>
  <c r="H48" i="50"/>
  <c r="J26" i="44"/>
  <c r="J41" i="60"/>
  <c r="CJ35" i="3"/>
  <c r="I106" i="86"/>
  <c r="L89" i="36"/>
  <c r="H53" i="59"/>
  <c r="F82" i="60"/>
  <c r="J92" i="87"/>
  <c r="F51" i="27"/>
  <c r="E76" i="74"/>
  <c r="M80" i="39"/>
  <c r="G94" i="58"/>
  <c r="G74" i="72"/>
  <c r="M62" i="74"/>
  <c r="G68" i="48"/>
  <c r="F74" i="83"/>
  <c r="H107" i="69"/>
  <c r="D13" i="51"/>
  <c r="H25" i="57"/>
  <c r="K23" i="35"/>
  <c r="I107" i="64"/>
  <c r="G32" i="50"/>
  <c r="O95" i="75"/>
  <c r="D29" i="59"/>
  <c r="F70" i="47"/>
  <c r="H9" i="78"/>
  <c r="I44" i="49"/>
  <c r="O26" i="27"/>
  <c r="O24" i="58"/>
  <c r="N76" i="76"/>
  <c r="F21" i="52"/>
  <c r="J4" i="93"/>
  <c r="E42" i="34"/>
  <c r="J15" i="72"/>
  <c r="M58" i="44"/>
  <c r="F28" i="89"/>
  <c r="N32" i="83"/>
  <c r="F8" i="68"/>
  <c r="E101" i="45"/>
  <c r="G40" i="64"/>
  <c r="G97" i="52"/>
  <c r="M24" i="93"/>
  <c r="J27" i="53"/>
  <c r="K86" i="43"/>
  <c r="G62" i="38"/>
  <c r="L45" i="25"/>
  <c r="J100" i="54"/>
  <c r="K104" i="83"/>
  <c r="E98" i="36"/>
  <c r="E77" i="33"/>
  <c r="G80"/>
  <c r="I30" i="60"/>
  <c r="I79" i="40"/>
  <c r="J56" i="33"/>
  <c r="N34" i="45"/>
  <c r="N52" i="72"/>
  <c r="J27" i="43"/>
  <c r="G104" i="19"/>
  <c r="E28" i="34"/>
  <c r="I27" i="51"/>
  <c r="H20" i="42"/>
  <c r="E62" i="92"/>
  <c r="L10" i="45"/>
  <c r="F56" i="92"/>
  <c r="I7" i="76"/>
  <c r="J100" i="38"/>
  <c r="M27" i="60"/>
  <c r="O18" i="92"/>
  <c r="E97" i="67"/>
  <c r="D58" i="71"/>
  <c r="M89" i="41"/>
  <c r="D20" i="36"/>
  <c r="D25" i="76"/>
  <c r="D15" i="40"/>
  <c r="N76" i="34"/>
  <c r="F62" i="52"/>
  <c r="D104" i="43"/>
  <c r="F86" i="86"/>
  <c r="D100" i="57"/>
  <c r="G55" i="35"/>
  <c r="D25" i="68"/>
  <c r="K27" i="94"/>
  <c r="N46" i="60"/>
  <c r="G8" i="63"/>
  <c r="G56" i="66"/>
  <c r="G14" i="72"/>
  <c r="N57" i="91"/>
  <c r="D79" i="74"/>
  <c r="M86" i="19"/>
  <c r="F24" i="49"/>
  <c r="D32" i="70"/>
  <c r="L89" i="94"/>
  <c r="N21" i="63"/>
  <c r="L10" i="54"/>
  <c r="M59" i="92"/>
  <c r="G80" i="62"/>
  <c r="E53" i="81"/>
  <c r="M30" i="41"/>
  <c r="E19" i="80"/>
  <c r="J61" i="81"/>
  <c r="I100" i="54"/>
  <c r="D40" i="43"/>
  <c r="L54" i="77"/>
  <c r="F14" i="54"/>
  <c r="G67" i="76"/>
  <c r="N36" i="71"/>
  <c r="H104" i="49"/>
  <c r="I5" i="77"/>
  <c r="F35" i="91"/>
  <c r="K70" i="69"/>
  <c r="M27" i="48"/>
  <c r="J104" i="76"/>
  <c r="K58" i="58"/>
  <c r="I70" i="94"/>
  <c r="O82" i="67"/>
  <c r="J27" i="87"/>
  <c r="D10" i="76"/>
  <c r="M23" i="65"/>
  <c r="H13" i="38"/>
  <c r="J8" i="19"/>
  <c r="L7" i="71"/>
  <c r="I65" i="75"/>
  <c r="M22" i="67"/>
  <c r="H91" i="19"/>
  <c r="M46" i="41"/>
  <c r="M107" i="60"/>
  <c r="E13" i="50"/>
  <c r="E77" i="73"/>
  <c r="G35" i="38"/>
  <c r="K67" i="34"/>
  <c r="M4" i="51"/>
  <c r="L88" i="30"/>
  <c r="I61" i="55"/>
  <c r="L52" i="80"/>
  <c r="F42" i="47"/>
  <c r="O21" i="25"/>
  <c r="E88" i="79"/>
  <c r="E77" i="53"/>
  <c r="O4" i="86"/>
  <c r="E24" i="30"/>
  <c r="G67" i="36"/>
  <c r="H97" i="62"/>
  <c r="G83" i="71"/>
  <c r="L57" i="63"/>
  <c r="D20" i="73"/>
  <c r="I83" i="85"/>
  <c r="F29" i="45"/>
  <c r="G18" i="19"/>
  <c r="H5" i="43"/>
  <c r="L5" i="39"/>
  <c r="N86" i="92"/>
  <c r="L61" i="34"/>
  <c r="I46" i="58"/>
  <c r="E19" i="85"/>
  <c r="K17" i="47"/>
  <c r="K23" i="57"/>
  <c r="H83" i="91"/>
  <c r="G83" i="87"/>
  <c r="E82" i="27"/>
  <c r="M24" i="77"/>
  <c r="N79" i="55"/>
  <c r="F18" i="42"/>
  <c r="G25" i="59"/>
  <c r="J62" i="54"/>
  <c r="L32" i="55"/>
  <c r="J82" i="70"/>
  <c r="I10" i="34"/>
  <c r="F92" i="41"/>
  <c r="N61" i="91"/>
  <c r="M51" i="55"/>
  <c r="J18" i="81"/>
  <c r="J10" i="58"/>
  <c r="H19" i="82"/>
  <c r="M100" i="39"/>
  <c r="G95" i="51"/>
  <c r="O45" i="89"/>
  <c r="G55" i="76"/>
  <c r="L82" i="36"/>
  <c r="N40" i="87"/>
  <c r="M88" i="71"/>
  <c r="F47" i="73"/>
  <c r="E97" i="72"/>
  <c r="D45" i="47"/>
  <c r="M48" i="36"/>
  <c r="M14" i="76"/>
  <c r="J85" i="30"/>
  <c r="I5" i="69"/>
  <c r="I107" i="36"/>
  <c r="J104" i="91"/>
  <c r="O23" i="70"/>
  <c r="G52" i="83"/>
  <c r="K56" i="53"/>
  <c r="K104" i="45"/>
  <c r="E10" i="76"/>
  <c r="L61" i="94"/>
  <c r="E4" i="77"/>
  <c r="H16" i="39"/>
  <c r="G86" i="81"/>
  <c r="K80" i="61"/>
  <c r="G47" i="54"/>
  <c r="H33" i="47"/>
  <c r="J10" i="67"/>
  <c r="E98" i="52"/>
  <c r="J47" i="82"/>
  <c r="G58" i="89"/>
  <c r="E86" i="44"/>
  <c r="E48" i="49"/>
  <c r="K91" i="71"/>
  <c r="E52" i="47"/>
  <c r="D59" i="60"/>
  <c r="O23" i="62"/>
  <c r="J18" i="54"/>
  <c r="F56" i="77"/>
  <c r="I79" i="61"/>
  <c r="N71" i="53"/>
  <c r="N41" i="29"/>
  <c r="H92" i="51"/>
  <c r="J36" i="68"/>
  <c r="L83" i="86"/>
  <c r="D45" i="84"/>
  <c r="J22" i="64"/>
  <c r="K76" i="94"/>
  <c r="D62" i="62"/>
  <c r="O31" i="83"/>
  <c r="D28" i="38"/>
  <c r="G74" i="74"/>
  <c r="J92" i="80"/>
  <c r="N70" i="48"/>
  <c r="H28" i="53"/>
  <c r="J5" i="62"/>
  <c r="F68" i="26"/>
  <c r="N64" i="80"/>
  <c r="O8" i="25"/>
  <c r="G61" i="94"/>
  <c r="M88" i="66"/>
  <c r="G46" i="29"/>
  <c r="K76" i="78"/>
  <c r="G51" i="89"/>
  <c r="H101" i="34"/>
  <c r="N80" i="35"/>
  <c r="J49" i="34"/>
  <c r="I40"/>
  <c r="H34" i="54"/>
  <c r="G37" i="83"/>
  <c r="N65" i="60"/>
  <c r="M41" i="19"/>
  <c r="F44" i="83"/>
  <c r="I43" i="77"/>
  <c r="F41" i="25"/>
  <c r="M5" i="68"/>
  <c r="D89" i="64"/>
  <c r="I27" i="69"/>
  <c r="H80" i="25"/>
  <c r="D70" i="87"/>
  <c r="M103" i="27"/>
  <c r="I43" i="76"/>
  <c r="N67" i="53"/>
  <c r="D40" i="56"/>
  <c r="G26" i="36"/>
  <c r="E50" i="83"/>
  <c r="J100" i="71"/>
  <c r="G32" i="92"/>
  <c r="D83" i="53"/>
  <c r="H76" i="67"/>
  <c r="K11"/>
  <c r="D45" i="54"/>
  <c r="J68" i="44"/>
  <c r="K51" i="55"/>
  <c r="G54" i="84"/>
  <c r="J97" i="29"/>
  <c r="F65" i="78"/>
  <c r="H6" i="87"/>
  <c r="D53" i="49"/>
  <c r="G70" i="80"/>
  <c r="O30" i="33"/>
  <c r="M15" i="30"/>
  <c r="F55" i="65"/>
  <c r="L64" i="82"/>
  <c r="I48" i="25"/>
  <c r="J29" i="75"/>
  <c r="L6" i="32"/>
  <c r="F8" i="29"/>
  <c r="O67" i="78"/>
  <c r="E82" i="57"/>
  <c r="H58" i="92"/>
  <c r="K61" i="93"/>
  <c r="I64" i="72"/>
  <c r="M53" i="75"/>
  <c r="J25" i="54"/>
  <c r="E74" i="40"/>
  <c r="L103" i="25"/>
  <c r="D55" i="87"/>
  <c r="D62" i="76"/>
  <c r="I12" i="78"/>
  <c r="F41" i="26"/>
  <c r="H9" i="55"/>
  <c r="N14" i="67"/>
  <c r="K18" i="82"/>
  <c r="D58" i="73"/>
  <c r="I21" i="51"/>
  <c r="F17" i="56"/>
  <c r="L85" i="55"/>
  <c r="O74" i="93"/>
  <c r="L91" i="47"/>
  <c r="L37" i="53"/>
  <c r="J53" i="58"/>
  <c r="N52" i="71"/>
  <c r="M36" i="44"/>
  <c r="F7" i="62"/>
  <c r="H32" i="47"/>
  <c r="D89" i="90"/>
  <c r="M71" i="38"/>
  <c r="H71" i="55"/>
  <c r="O16" i="26"/>
  <c r="H53" i="44"/>
  <c r="E92" i="83"/>
  <c r="D70" i="55"/>
  <c r="H49" i="91"/>
  <c r="G83" i="46"/>
  <c r="I44" i="47"/>
  <c r="I9" i="32"/>
  <c r="M80" i="41"/>
  <c r="J62" i="55"/>
  <c r="O55" i="62"/>
  <c r="K92" i="87"/>
  <c r="O20" i="43"/>
  <c r="E49" i="87"/>
  <c r="M16" i="72"/>
  <c r="F9" i="58"/>
  <c r="O14" i="36"/>
  <c r="F64" i="90"/>
  <c r="I11" i="86"/>
  <c r="I50"/>
  <c r="O52" i="51"/>
  <c r="N22" i="48"/>
  <c r="F64" i="19"/>
  <c r="G4" i="94"/>
  <c r="D101" i="19"/>
  <c r="L27" i="82"/>
  <c r="L53" i="57"/>
  <c r="J42" i="41"/>
  <c r="G8" i="94"/>
  <c r="L16" i="60"/>
  <c r="N9" i="94"/>
  <c r="N12" i="30"/>
  <c r="D38" i="67"/>
  <c r="G103" i="77"/>
  <c r="L86" i="54"/>
  <c r="D42" i="59"/>
  <c r="N6"/>
  <c r="J17" i="55"/>
  <c r="H76" i="35"/>
  <c r="F28" i="26"/>
  <c r="M17" i="35"/>
  <c r="G88" i="57"/>
  <c r="H15" i="36"/>
  <c r="I89" i="61"/>
  <c r="D58" i="76"/>
  <c r="F33" i="60"/>
  <c r="F61" i="66"/>
  <c r="E45" i="35"/>
  <c r="L32" i="63"/>
  <c r="D56" i="46"/>
  <c r="D47" i="69"/>
  <c r="G65" i="29"/>
  <c r="K12" i="53"/>
  <c r="L98" i="70"/>
  <c r="L21" i="43"/>
  <c r="K20" i="66"/>
  <c r="F38" i="82"/>
  <c r="L22" i="26"/>
  <c r="D107" i="73"/>
  <c r="F40" i="26"/>
  <c r="E76" i="51"/>
  <c r="H17" i="77"/>
  <c r="G107" i="48"/>
  <c r="F46" i="52"/>
  <c r="I65" i="59"/>
  <c r="N65" i="25"/>
  <c r="F95" i="47"/>
  <c r="O71" i="29"/>
  <c r="D48" i="61"/>
  <c r="E77"/>
  <c r="L104" i="91"/>
  <c r="L103" i="62"/>
  <c r="O68" i="44"/>
  <c r="O57" i="30"/>
  <c r="I23" i="51"/>
  <c r="G11" i="66"/>
  <c r="M106" i="36"/>
  <c r="O57" i="59"/>
  <c r="D32" i="65"/>
  <c r="J103" i="69"/>
  <c r="H52" i="79"/>
  <c r="E15" i="82"/>
  <c r="I43" i="51"/>
  <c r="G106" i="19"/>
  <c r="E51" i="32"/>
  <c r="N71" i="70"/>
  <c r="O64"/>
  <c r="F26" i="84"/>
  <c r="H59" i="92"/>
  <c r="E58" i="64"/>
  <c r="M92"/>
  <c r="M6" i="44"/>
  <c r="J40" i="40"/>
  <c r="I6" i="73"/>
  <c r="E89" i="69"/>
  <c r="O18" i="40"/>
  <c r="H11" i="36"/>
  <c r="M73" i="54"/>
  <c r="J28" i="75"/>
  <c r="F76" i="58"/>
  <c r="E30" i="61"/>
  <c r="K104" i="39"/>
  <c r="K46" i="48"/>
  <c r="I36" i="87"/>
  <c r="G106" i="44"/>
  <c r="L86" i="30"/>
  <c r="O17" i="78"/>
  <c r="E38" i="62"/>
  <c r="F91" i="87"/>
  <c r="E106" i="54"/>
  <c r="I77"/>
  <c r="G65" i="61"/>
  <c r="O38" i="26"/>
  <c r="H20" i="47"/>
  <c r="F80" i="43"/>
  <c r="M14" i="61"/>
  <c r="G55" i="68"/>
  <c r="K17" i="39"/>
  <c r="N101" i="63"/>
  <c r="J21" i="84"/>
  <c r="N21" i="66"/>
  <c r="D85" i="19"/>
  <c r="I17" i="73"/>
  <c r="J33" i="75"/>
  <c r="F22" i="68"/>
  <c r="M25" i="55"/>
  <c r="K61" i="77"/>
  <c r="H35" i="47"/>
  <c r="M107" i="93"/>
  <c r="J67" i="47"/>
  <c r="N36" i="40"/>
  <c r="H100" i="46"/>
  <c r="M68" i="29"/>
  <c r="O23" i="36"/>
  <c r="M38" i="25"/>
  <c r="L12" i="39"/>
  <c r="G17" i="84"/>
  <c r="J17" i="79"/>
  <c r="O50" i="73"/>
  <c r="H82" i="29"/>
  <c r="G92" i="55"/>
  <c r="O36" i="34"/>
  <c r="F61" i="81"/>
  <c r="J8" i="65"/>
  <c r="L14" i="71"/>
  <c r="N59" i="75"/>
  <c r="O48" i="91"/>
  <c r="L64" i="49"/>
  <c r="O70" i="68"/>
  <c r="E23" i="87"/>
  <c r="H74" i="61"/>
  <c r="J27" i="51"/>
  <c r="O62" i="49"/>
  <c r="G34" i="93"/>
  <c r="K17" i="43"/>
  <c r="G19" i="83"/>
  <c r="E34"/>
  <c r="L31" i="82"/>
  <c r="K28" i="59"/>
  <c r="E18" i="29"/>
  <c r="I79" i="58"/>
  <c r="H58" i="38"/>
  <c r="G19" i="49"/>
  <c r="G34" i="52"/>
  <c r="H101" i="25"/>
  <c r="O36" i="36"/>
  <c r="D56" i="68"/>
  <c r="E17" i="30"/>
  <c r="O20" i="46"/>
  <c r="F79" i="53"/>
  <c r="J49" i="61"/>
  <c r="L25" i="55"/>
  <c r="M34" i="81"/>
  <c r="G92" i="61"/>
  <c r="J104" i="45"/>
  <c r="K91" i="82"/>
  <c r="N40" i="76"/>
  <c r="L88" i="32"/>
  <c r="J57" i="76"/>
  <c r="I101" i="87"/>
  <c r="D44" i="85"/>
  <c r="G97" i="79"/>
  <c r="F26" i="30"/>
  <c r="K54" i="35"/>
  <c r="E67" i="56"/>
  <c r="J45" i="75"/>
  <c r="N106" i="68"/>
  <c r="K27" i="33"/>
  <c r="E52" i="43"/>
  <c r="H28" i="27"/>
  <c r="J18" i="48"/>
  <c r="O52" i="67"/>
  <c r="N5" i="63"/>
  <c r="O26" i="41"/>
  <c r="N107" i="73"/>
  <c r="G23" i="30"/>
  <c r="K106" i="51"/>
  <c r="N38" i="54"/>
  <c r="L14" i="80"/>
  <c r="H28" i="44"/>
  <c r="M52" i="80"/>
  <c r="M74" i="76"/>
  <c r="F41" i="84"/>
  <c r="M27" i="29"/>
  <c r="F77" i="91"/>
  <c r="G76" i="43"/>
  <c r="I35" i="33"/>
  <c r="D54" i="57"/>
  <c r="G64" i="43"/>
  <c r="L30" i="71"/>
  <c r="E14" i="40"/>
  <c r="O8" i="51"/>
  <c r="D73" i="58"/>
  <c r="H43" i="29"/>
  <c r="J94" i="53"/>
  <c r="D42" i="94"/>
  <c r="J5" i="25"/>
  <c r="M106"/>
  <c r="K79" i="80"/>
  <c r="H21" i="89"/>
  <c r="I32" i="26"/>
  <c r="K15" i="63"/>
  <c r="F64" i="82"/>
  <c r="D49" i="53"/>
  <c r="L12" i="78"/>
  <c r="M77" i="67"/>
  <c r="G16" i="29"/>
  <c r="L35" i="68"/>
  <c r="E27" i="83"/>
  <c r="H8" i="44"/>
  <c r="L92" i="45"/>
  <c r="H89" i="86"/>
  <c r="G5" i="70"/>
  <c r="L52" i="25"/>
  <c r="K57" i="80"/>
  <c r="D8" i="66"/>
  <c r="L6" i="77"/>
  <c r="H35" i="94"/>
  <c r="F4" i="36"/>
  <c r="D29" i="32"/>
  <c r="N53" i="82"/>
  <c r="J62" i="40"/>
  <c r="H79" i="84"/>
  <c r="D19" i="90"/>
  <c r="L27" i="86"/>
  <c r="J11" i="73"/>
  <c r="E54"/>
  <c r="G28" i="90"/>
  <c r="L20" i="33"/>
  <c r="H4" i="90"/>
  <c r="I34" i="69"/>
  <c r="J83" i="61"/>
  <c r="L33" i="76"/>
  <c r="F58" i="36"/>
  <c r="I6" i="54"/>
  <c r="G19" i="77"/>
  <c r="N100" i="49"/>
  <c r="K31" i="29"/>
  <c r="G32" i="34"/>
  <c r="L62" i="72"/>
  <c r="F106" i="80"/>
  <c r="F4" i="91"/>
  <c r="F48" i="89"/>
  <c r="K18" i="39"/>
  <c r="G9" i="64"/>
  <c r="F49" i="36"/>
  <c r="E76" i="30"/>
  <c r="H106" i="55"/>
  <c r="L15"/>
  <c r="F36" i="61"/>
  <c r="N26" i="91"/>
  <c r="I32" i="69"/>
  <c r="N56" i="27"/>
  <c r="D100" i="36"/>
  <c r="J5" i="55"/>
  <c r="M37" i="26"/>
  <c r="F52" i="85"/>
  <c r="I18" i="87"/>
  <c r="G35" i="48"/>
  <c r="F62" i="79"/>
  <c r="K104" i="36"/>
  <c r="K4" i="41"/>
  <c r="H73" i="53"/>
  <c r="G64" i="63"/>
  <c r="M26" i="56"/>
  <c r="J95" i="34"/>
  <c r="H82"/>
  <c r="I103" i="54"/>
  <c r="L77" i="64"/>
  <c r="D80" i="58"/>
  <c r="O7" i="93"/>
  <c r="F67" i="90"/>
  <c r="E9" i="30"/>
  <c r="D26" i="85"/>
  <c r="E56" i="49"/>
  <c r="F9" i="93"/>
  <c r="H13" i="80"/>
  <c r="G43" i="27"/>
  <c r="G12" i="32"/>
  <c r="I70" i="84"/>
  <c r="J13" i="34"/>
  <c r="L94" i="86"/>
  <c r="J82" i="58"/>
  <c r="F49" i="25"/>
  <c r="H6" i="49"/>
  <c r="J49" i="44"/>
  <c r="H88" i="33"/>
  <c r="M71" i="72"/>
  <c r="L104" i="36"/>
  <c r="I14" i="87"/>
  <c r="E71" i="46"/>
  <c r="F48" i="42"/>
  <c r="K29" i="27"/>
  <c r="M51" i="87"/>
  <c r="I61" i="85"/>
  <c r="L101" i="70"/>
  <c r="D47" i="33"/>
  <c r="L25" i="35"/>
  <c r="N73" i="62"/>
  <c r="H65" i="53"/>
  <c r="D30" i="35"/>
  <c r="J59"/>
  <c r="O13" i="86"/>
  <c r="E55" i="64"/>
  <c r="N46" i="26"/>
  <c r="E42" i="40"/>
  <c r="F104" i="80"/>
  <c r="G77" i="61"/>
  <c r="D21" i="77"/>
  <c r="L28" i="72"/>
  <c r="H76" i="62"/>
  <c r="I62" i="73"/>
  <c r="I31" i="35"/>
  <c r="D33" i="80"/>
  <c r="O82" i="45"/>
  <c r="D41" i="84"/>
  <c r="G16" i="64"/>
  <c r="J23" i="27"/>
  <c r="O52"/>
  <c r="K38" i="83"/>
  <c r="E82" i="54"/>
  <c r="M31" i="70"/>
  <c r="O4" i="89"/>
  <c r="G24" i="84"/>
  <c r="E41" i="91"/>
  <c r="F29" i="35"/>
  <c r="J41" i="86"/>
  <c r="I59" i="79"/>
  <c r="L64" i="76"/>
  <c r="D14" i="57"/>
  <c r="H62" i="62"/>
  <c r="L37" i="54"/>
  <c r="J17" i="65"/>
  <c r="G38" i="92"/>
  <c r="I8" i="41"/>
  <c r="G57" i="35"/>
  <c r="H16" i="45"/>
  <c r="L95" i="64"/>
  <c r="K45" i="49"/>
  <c r="E46" i="85"/>
  <c r="G100" i="55"/>
  <c r="D107" i="43"/>
  <c r="I101" i="78"/>
  <c r="I76" i="50"/>
  <c r="I100" i="48"/>
  <c r="E56" i="41"/>
  <c r="M30" i="58"/>
  <c r="J16" i="62"/>
  <c r="O95" i="36"/>
  <c r="E83" i="86"/>
  <c r="H71" i="45"/>
  <c r="K70" i="83"/>
  <c r="K18" i="48"/>
  <c r="L56" i="65"/>
  <c r="D15" i="84"/>
  <c r="J13" i="47"/>
  <c r="M86" i="72"/>
  <c r="N74" i="60"/>
  <c r="K11" i="59"/>
  <c r="H39" i="44"/>
  <c r="L86" i="82"/>
  <c r="E39" i="34"/>
  <c r="M57" i="67"/>
  <c r="G8" i="26"/>
  <c r="D77" i="39"/>
  <c r="K83" i="75"/>
  <c r="L57" i="74"/>
  <c r="I98" i="45"/>
  <c r="F31" i="48"/>
  <c r="G77" i="58"/>
  <c r="I89" i="51"/>
  <c r="O88" i="55"/>
  <c r="E45" i="56"/>
  <c r="G31" i="85"/>
  <c r="K56" i="27"/>
  <c r="K50" i="65"/>
  <c r="I97" i="82"/>
  <c r="G89" i="60"/>
  <c r="E83" i="67"/>
  <c r="E91" i="85"/>
  <c r="D50" i="51"/>
  <c r="I65" i="50"/>
  <c r="F25" i="19"/>
  <c r="N41" i="51"/>
  <c r="O6" i="55"/>
  <c r="N79" i="75"/>
  <c r="N101" i="40"/>
  <c r="E46" i="69"/>
  <c r="K56" i="30"/>
  <c r="H64" i="65"/>
  <c r="H34" i="73"/>
  <c r="L39" i="34"/>
  <c r="J77" i="79"/>
  <c r="H40" i="90"/>
  <c r="L39" i="39"/>
  <c r="I29" i="82"/>
  <c r="F11" i="53"/>
  <c r="G55" i="82"/>
  <c r="J5" i="49"/>
  <c r="D30" i="58"/>
  <c r="G38" i="75"/>
  <c r="M98" i="54"/>
  <c r="F15" i="45"/>
  <c r="J83" i="65"/>
  <c r="F41" i="33"/>
  <c r="J54" i="86"/>
  <c r="I92" i="27"/>
  <c r="F58" i="87"/>
  <c r="M5" i="60"/>
  <c r="O13" i="27"/>
  <c r="K70" i="53"/>
  <c r="J19" i="26"/>
  <c r="L52" i="55"/>
  <c r="O92" i="70"/>
  <c r="F86" i="85"/>
  <c r="D43" i="57"/>
  <c r="K92" i="32"/>
  <c r="K43"/>
  <c r="G86" i="90"/>
  <c r="M92" i="65"/>
  <c r="M77" i="93"/>
  <c r="J82" i="60"/>
  <c r="G15" i="75"/>
  <c r="H49" i="71"/>
  <c r="O19" i="77"/>
  <c r="H54" i="90"/>
  <c r="H43" i="69"/>
  <c r="L20" i="35"/>
  <c r="E8" i="89"/>
  <c r="H44" i="59"/>
  <c r="D8" i="57"/>
  <c r="K106" i="77"/>
  <c r="G19" i="60"/>
  <c r="J89" i="87"/>
  <c r="O19" i="26"/>
  <c r="H88" i="39"/>
  <c r="D68" i="67"/>
  <c r="G106" i="76"/>
  <c r="H83" i="73"/>
  <c r="F107" i="36"/>
  <c r="G30" i="57"/>
  <c r="H82" i="59"/>
  <c r="O29" i="66"/>
  <c r="H46" i="35"/>
  <c r="G106" i="47"/>
  <c r="E47" i="27"/>
  <c r="L36" i="47"/>
  <c r="H11" i="43"/>
  <c r="O18" i="56"/>
  <c r="E7" i="40"/>
  <c r="G36" i="83"/>
  <c r="N42" i="35"/>
  <c r="E86" i="78"/>
  <c r="J10" i="54"/>
  <c r="E88" i="78"/>
  <c r="O33" i="34"/>
  <c r="L50" i="60"/>
  <c r="L23" i="81"/>
  <c r="D101" i="92"/>
  <c r="I10" i="91"/>
  <c r="G55" i="85"/>
  <c r="D88" i="58"/>
  <c r="M41" i="94"/>
  <c r="D4" i="42"/>
  <c r="D14" i="96" s="1"/>
  <c r="I8" i="33"/>
  <c r="F15" i="82"/>
  <c r="L95" i="30"/>
  <c r="F8" i="61"/>
  <c r="O34" i="34"/>
  <c r="M89" i="53"/>
  <c r="F25" i="73"/>
  <c r="N100" i="46"/>
  <c r="M7" i="19"/>
  <c r="D25" i="38"/>
  <c r="H15" i="93"/>
  <c r="J29" i="76"/>
  <c r="J12" i="41"/>
  <c r="O67" i="60"/>
  <c r="D32" i="39"/>
  <c r="O39" i="30"/>
  <c r="O20" i="58"/>
  <c r="E50" i="76"/>
  <c r="D6" i="82"/>
  <c r="K100" i="48"/>
  <c r="N107" i="86"/>
  <c r="J49" i="91"/>
  <c r="O85" i="64"/>
  <c r="L16" i="89"/>
  <c r="I59" i="32"/>
  <c r="G24" i="94"/>
  <c r="F71" i="89"/>
  <c r="L8" i="75"/>
  <c r="D19" i="52"/>
  <c r="M37" i="69"/>
  <c r="K41" i="35"/>
  <c r="E47" i="49"/>
  <c r="N13" i="56"/>
  <c r="O101" i="61"/>
  <c r="K91" i="41"/>
  <c r="G7" i="57"/>
  <c r="K95" i="39"/>
  <c r="N107" i="26"/>
  <c r="E104" i="90"/>
  <c r="E68" i="41"/>
  <c r="N6" i="32"/>
  <c r="I94" i="36"/>
  <c r="D41" i="79"/>
  <c r="K12" i="74"/>
  <c r="J15" i="62"/>
  <c r="I94" i="94"/>
  <c r="O62" i="92"/>
  <c r="H59" i="66"/>
  <c r="M54" i="86"/>
  <c r="H89" i="38"/>
  <c r="K27" i="74"/>
  <c r="K74" i="86"/>
  <c r="K40" i="32"/>
  <c r="L36" i="48"/>
  <c r="E56" i="83"/>
  <c r="M29" i="44"/>
  <c r="E22" i="65"/>
  <c r="G55" i="71"/>
  <c r="I31" i="70"/>
  <c r="N42" i="51"/>
  <c r="I32" i="92"/>
  <c r="G21" i="81"/>
  <c r="K28" i="56"/>
  <c r="G21" i="86"/>
  <c r="M91" i="53"/>
  <c r="G36" i="90"/>
  <c r="N29" i="49"/>
  <c r="I43" i="48"/>
  <c r="K101" i="58"/>
  <c r="G52" i="48"/>
  <c r="I5" i="39"/>
  <c r="O55" i="45"/>
  <c r="G26" i="73"/>
  <c r="F95" i="75"/>
  <c r="I28" i="74"/>
  <c r="I46" i="50"/>
  <c r="H55" i="52"/>
  <c r="F42" i="32"/>
  <c r="J55" i="56"/>
  <c r="L34" i="33"/>
  <c r="K55" i="36"/>
  <c r="M94" i="71"/>
  <c r="K31" i="39"/>
  <c r="M26" i="91"/>
  <c r="H4" i="45"/>
  <c r="F68" i="82"/>
  <c r="G88" i="48"/>
  <c r="N5" i="81"/>
  <c r="D27" i="75"/>
  <c r="F50" i="76"/>
  <c r="F17" i="72"/>
  <c r="G92" i="81"/>
  <c r="D64" i="70"/>
  <c r="D9" i="76"/>
  <c r="D54" i="35"/>
  <c r="F21" i="55"/>
  <c r="N100" i="65"/>
  <c r="F26" i="76"/>
  <c r="F26" i="91"/>
  <c r="G24" i="82"/>
  <c r="J107" i="25"/>
  <c r="K21" i="36"/>
  <c r="K44" i="71"/>
  <c r="H54" i="94"/>
  <c r="I95" i="25"/>
  <c r="H47" i="87"/>
  <c r="J33" i="26"/>
  <c r="L52" i="64"/>
  <c r="L24" i="81"/>
  <c r="M106" i="93"/>
  <c r="D83" i="65"/>
  <c r="F33" i="55"/>
  <c r="E6" i="76"/>
  <c r="K42" i="90"/>
  <c r="I76" i="41"/>
  <c r="K77" i="73"/>
  <c r="D73" i="45"/>
  <c r="E76" i="64"/>
  <c r="O95" i="59"/>
  <c r="K5" i="54"/>
  <c r="F57" i="55"/>
  <c r="D16"/>
  <c r="E101" i="43"/>
  <c r="E43" i="38"/>
  <c r="I45" i="57"/>
  <c r="M4" i="69"/>
  <c r="O38" i="62"/>
  <c r="I103" i="53"/>
  <c r="M94" i="27"/>
  <c r="I26" i="43"/>
  <c r="N67" i="55"/>
  <c r="G29" i="93"/>
  <c r="D15" i="94"/>
  <c r="J16" i="76"/>
  <c r="N17" i="91"/>
  <c r="E106" i="73"/>
  <c r="K101" i="33"/>
  <c r="G97" i="32"/>
  <c r="E97" i="56"/>
  <c r="J10" i="43"/>
  <c r="G77" i="46"/>
  <c r="K38" i="82"/>
  <c r="I17" i="57"/>
  <c r="O49" i="67"/>
  <c r="N26" i="70"/>
  <c r="L48" i="93"/>
  <c r="E7" i="91"/>
  <c r="F67" i="47"/>
  <c r="L41" i="38"/>
  <c r="E24"/>
  <c r="D10" i="69"/>
  <c r="M91" i="33"/>
  <c r="L28" i="67"/>
  <c r="F45" i="91"/>
  <c r="H11" i="52"/>
  <c r="O22" i="87"/>
  <c r="N52" i="43"/>
  <c r="O25" i="77"/>
  <c r="I61" i="27"/>
  <c r="H98" i="35"/>
  <c r="I80" i="69"/>
  <c r="G80" i="45"/>
  <c r="H54" i="75"/>
  <c r="N22" i="63"/>
  <c r="I83" i="59"/>
  <c r="D10" i="54"/>
  <c r="F55" i="85"/>
  <c r="N77" i="67"/>
  <c r="O88" i="40"/>
  <c r="I12" i="52"/>
  <c r="D52" i="25"/>
  <c r="D40" i="48"/>
  <c r="L36" i="59"/>
  <c r="D107" i="93"/>
  <c r="N20" i="41"/>
  <c r="E37" i="34"/>
  <c r="H8" i="81"/>
  <c r="M64" i="94"/>
  <c r="N86" i="78"/>
  <c r="K50" i="56"/>
  <c r="E26" i="32"/>
  <c r="E4" i="33"/>
  <c r="D94" i="60"/>
  <c r="O33" i="46"/>
  <c r="E27" i="68"/>
  <c r="L91" i="30"/>
  <c r="N48" i="77"/>
  <c r="O8" i="26"/>
  <c r="D101" i="65"/>
  <c r="J19" i="63"/>
  <c r="J48" i="68"/>
  <c r="N74" i="53"/>
  <c r="I22" i="48"/>
  <c r="N83" i="83"/>
  <c r="L15" i="48"/>
  <c r="G41" i="26"/>
  <c r="F54" i="40"/>
  <c r="H38" i="83"/>
  <c r="M24" i="48"/>
  <c r="L53" i="71"/>
  <c r="J67" i="67"/>
  <c r="D50" i="90"/>
  <c r="F52" i="47"/>
  <c r="K77" i="64"/>
  <c r="D18" i="27"/>
  <c r="O18" i="82"/>
  <c r="N15" i="48"/>
  <c r="N92" i="30"/>
  <c r="J83" i="69"/>
  <c r="E49" i="49"/>
  <c r="D37" i="53"/>
  <c r="L41" i="82"/>
  <c r="D70" i="19"/>
  <c r="K74" i="93"/>
  <c r="J79" i="84"/>
  <c r="N17" i="48"/>
  <c r="G4" i="70"/>
  <c r="N44" i="94"/>
  <c r="G39" i="82"/>
  <c r="M59" i="64"/>
  <c r="D39" i="38"/>
  <c r="N10" i="87"/>
  <c r="K15" i="91"/>
  <c r="G37" i="59"/>
  <c r="I19" i="85"/>
  <c r="I27" i="66"/>
  <c r="I64" i="33"/>
  <c r="K98" i="49"/>
  <c r="L17" i="86"/>
  <c r="I79" i="77"/>
  <c r="E57" i="86"/>
  <c r="L15" i="51"/>
  <c r="D4" i="91"/>
  <c r="F55" i="26"/>
  <c r="D86" i="79"/>
  <c r="O73" i="74"/>
  <c r="N6" i="68"/>
  <c r="K89" i="59"/>
  <c r="E43" i="89"/>
  <c r="E6" i="71"/>
  <c r="I7" i="29"/>
  <c r="H16" i="79"/>
  <c r="L97" i="62"/>
  <c r="H107" i="48"/>
  <c r="G6" i="35"/>
  <c r="F47"/>
  <c r="H85" i="94"/>
  <c r="N59" i="70"/>
  <c r="H45" i="48"/>
  <c r="N76" i="58"/>
  <c r="G36" i="76"/>
  <c r="M11" i="78"/>
  <c r="E36" i="53"/>
  <c r="J35" i="75"/>
  <c r="J22" i="38"/>
  <c r="F107" i="92"/>
  <c r="M107" i="49"/>
  <c r="E36" i="63"/>
  <c r="G95" i="52"/>
  <c r="O86" i="44"/>
  <c r="G48" i="35"/>
  <c r="K12" i="27"/>
  <c r="N44" i="67"/>
  <c r="M10" i="86"/>
  <c r="I5" i="53"/>
  <c r="J89" i="32"/>
  <c r="I71" i="33"/>
  <c r="M46" i="81"/>
  <c r="F32" i="55"/>
  <c r="H106" i="29"/>
  <c r="J107" i="67"/>
  <c r="I14" i="91"/>
  <c r="I62"/>
  <c r="H62" i="71"/>
  <c r="O73" i="72"/>
  <c r="D22" i="32"/>
  <c r="E19" i="63"/>
  <c r="D33" i="27"/>
  <c r="N29" i="93"/>
  <c r="L49" i="64"/>
  <c r="L10" i="41"/>
  <c r="F71" i="36"/>
  <c r="E13" i="51"/>
  <c r="H12" i="69"/>
  <c r="N55" i="27"/>
  <c r="H52" i="72"/>
  <c r="O17" i="39"/>
  <c r="F49" i="59"/>
  <c r="M92" i="83"/>
  <c r="L11" i="55"/>
  <c r="G49" i="38"/>
  <c r="I97" i="35"/>
  <c r="I41" i="33"/>
  <c r="E50" i="53"/>
  <c r="I74" i="42"/>
  <c r="N104" i="44"/>
  <c r="N86" i="67"/>
  <c r="H35" i="54"/>
  <c r="L104" i="55"/>
  <c r="E40" i="62"/>
  <c r="O23" i="34"/>
  <c r="G43" i="93"/>
  <c r="K45" i="86"/>
  <c r="N18" i="40"/>
  <c r="J12" i="60"/>
  <c r="G97" i="90"/>
  <c r="G44" i="54"/>
  <c r="L14" i="58"/>
  <c r="G32" i="93"/>
  <c r="I8" i="91"/>
  <c r="L34" i="75"/>
  <c r="N17"/>
  <c r="M98" i="43"/>
  <c r="D51" i="80"/>
  <c r="E20" i="33"/>
  <c r="H82" i="43"/>
  <c r="M70" i="82"/>
  <c r="M18" i="25"/>
  <c r="H52" i="52"/>
  <c r="H21" i="91"/>
  <c r="E85" i="69"/>
  <c r="O21" i="67"/>
  <c r="L17" i="51"/>
  <c r="K27" i="57"/>
  <c r="E58" i="47"/>
  <c r="E85" i="53"/>
  <c r="O10" i="68"/>
  <c r="CB54" i="3"/>
  <c r="E100" i="67"/>
  <c r="N11" i="54"/>
  <c r="F56" i="36"/>
  <c r="M68" i="72"/>
  <c r="F23" i="57"/>
  <c r="J62" i="76"/>
  <c r="D48" i="58"/>
  <c r="J5" i="44"/>
  <c r="M51" i="56"/>
  <c r="L5" i="48"/>
  <c r="E30" i="32"/>
  <c r="I76" i="74"/>
  <c r="G56" i="58"/>
  <c r="M64" i="92"/>
  <c r="O44" i="55"/>
  <c r="F8" i="83"/>
  <c r="L22" i="59"/>
  <c r="J27" i="69"/>
  <c r="M41" i="74"/>
  <c r="O70" i="39"/>
  <c r="E36" i="43"/>
  <c r="I18" i="57"/>
  <c r="O9" i="56"/>
  <c r="E11"/>
  <c r="G25" i="76"/>
  <c r="N25" i="59"/>
  <c r="N82" i="78"/>
  <c r="N65" i="34"/>
  <c r="J51" i="70"/>
  <c r="F13" i="91"/>
  <c r="G48" i="66"/>
  <c r="E24" i="91"/>
  <c r="N103" i="47"/>
  <c r="M79" i="86"/>
  <c r="H6" i="75"/>
  <c r="G107" i="70"/>
  <c r="N56" i="94"/>
  <c r="I89" i="68"/>
  <c r="M33" i="90"/>
  <c r="D86" i="62"/>
  <c r="I27" i="74"/>
  <c r="D94" i="73"/>
  <c r="I48" i="48"/>
  <c r="N15" i="78"/>
  <c r="D74" i="74"/>
  <c r="H16" i="27"/>
  <c r="G77" i="74"/>
  <c r="D101" i="33"/>
  <c r="E103" i="48"/>
  <c r="L100" i="94"/>
  <c r="O70" i="57"/>
  <c r="J95" i="50"/>
  <c r="M54" i="89"/>
  <c r="I18" i="33"/>
  <c r="G98" i="25"/>
  <c r="I38" i="69"/>
  <c r="E23" i="94"/>
  <c r="D107" i="27"/>
  <c r="F26" i="51"/>
  <c r="E17" i="48"/>
  <c r="E77" i="86"/>
  <c r="H68" i="72"/>
  <c r="J29" i="29"/>
  <c r="M92" i="63"/>
  <c r="G32" i="51"/>
  <c r="L107" i="91"/>
  <c r="E94" i="51"/>
  <c r="M73" i="62"/>
  <c r="I52" i="40"/>
  <c r="K12" i="68"/>
  <c r="M44" i="66"/>
  <c r="J48" i="47"/>
  <c r="E4" i="66"/>
  <c r="N24" i="25"/>
  <c r="N27" i="84"/>
  <c r="M103" i="60"/>
  <c r="F94" i="75"/>
  <c r="G76" i="54"/>
  <c r="M80" i="36"/>
  <c r="L33" i="29"/>
  <c r="M8" i="81"/>
  <c r="N14" i="33"/>
  <c r="G25" i="38"/>
  <c r="E76" i="57"/>
  <c r="D20" i="90"/>
  <c r="F67" i="42"/>
  <c r="D76" i="59"/>
  <c r="M21" i="33"/>
  <c r="M65" i="44"/>
  <c r="J41" i="81"/>
  <c r="G23" i="49"/>
  <c r="L27" i="83"/>
  <c r="L12" i="65"/>
  <c r="D5" i="73"/>
  <c r="E49" i="30"/>
  <c r="N31" i="43"/>
  <c r="L26" i="89"/>
  <c r="L28" i="32"/>
  <c r="L5" i="19"/>
  <c r="M95" i="40"/>
  <c r="L35" i="69"/>
  <c r="M16" i="68"/>
  <c r="N39" i="94"/>
  <c r="D64" i="48"/>
  <c r="J89" i="73"/>
  <c r="F79" i="94"/>
  <c r="M62" i="68"/>
  <c r="O95" i="29"/>
  <c r="F83" i="25"/>
  <c r="J12" i="75"/>
  <c r="K14" i="45"/>
  <c r="N97" i="92"/>
  <c r="M24" i="58"/>
  <c r="D17" i="77"/>
  <c r="H77" i="40"/>
  <c r="N47" i="69"/>
  <c r="K65" i="71"/>
  <c r="E95" i="63"/>
  <c r="F86" i="74"/>
  <c r="G26" i="62"/>
  <c r="N17" i="80"/>
  <c r="J42" i="51"/>
  <c r="G77" i="90"/>
  <c r="J15" i="54"/>
  <c r="O4" i="36"/>
  <c r="D47" i="35"/>
  <c r="F77" i="52"/>
  <c r="I6" i="35"/>
  <c r="K19" i="69"/>
  <c r="D46" i="80"/>
  <c r="H22" i="70"/>
  <c r="M89" i="26"/>
  <c r="O65" i="44"/>
  <c r="O25" i="91"/>
  <c r="O18" i="61"/>
  <c r="H62" i="38"/>
  <c r="D65" i="92"/>
  <c r="G6" i="84"/>
  <c r="D77" i="44"/>
  <c r="I100" i="36"/>
  <c r="I26" i="70"/>
  <c r="M30" i="75"/>
  <c r="L20" i="57"/>
  <c r="G13" i="73"/>
  <c r="F8" i="57"/>
  <c r="M52" i="26"/>
  <c r="F42" i="44"/>
  <c r="L57" i="73"/>
  <c r="G15" i="68"/>
  <c r="I29" i="71"/>
  <c r="K35" i="65"/>
  <c r="F9" i="82"/>
  <c r="F44" i="55"/>
  <c r="K79" i="92"/>
  <c r="E46" i="42"/>
  <c r="N19" i="56"/>
  <c r="O22" i="19"/>
  <c r="K16" i="22" s="1"/>
  <c r="H16" i="34"/>
  <c r="H73" i="35"/>
  <c r="K65" i="80"/>
  <c r="N28" i="76"/>
  <c r="O83" i="90"/>
  <c r="J80" i="78"/>
  <c r="L80" i="70"/>
  <c r="D48" i="74"/>
  <c r="O8" i="53"/>
  <c r="H50" i="38"/>
  <c r="I32" i="52"/>
  <c r="E27" i="93"/>
  <c r="I18" i="86"/>
  <c r="F82" i="43"/>
  <c r="L80" i="87"/>
  <c r="H55" i="58"/>
  <c r="K45" i="30"/>
  <c r="L31" i="89"/>
  <c r="L8" i="49"/>
  <c r="J42" i="26"/>
  <c r="N103" i="30"/>
  <c r="J18" i="51"/>
  <c r="G46" i="85"/>
  <c r="O23" i="63"/>
  <c r="N89" i="72"/>
  <c r="D12" i="49"/>
  <c r="F97" i="68"/>
  <c r="N103" i="43"/>
  <c r="F98" i="48"/>
  <c r="J7" i="78"/>
  <c r="K57" i="40"/>
  <c r="F86" i="33"/>
  <c r="O43" i="81"/>
  <c r="L41" i="51"/>
  <c r="M53" i="61"/>
  <c r="N36" i="38"/>
  <c r="M50" i="51"/>
  <c r="O74" i="66"/>
  <c r="J56" i="39"/>
  <c r="E27" i="59"/>
  <c r="F68" i="30"/>
  <c r="L57" i="67"/>
  <c r="J73" i="40"/>
  <c r="E44" i="78"/>
  <c r="G35" i="58"/>
  <c r="L31" i="70"/>
  <c r="J52" i="93"/>
  <c r="L18" i="41"/>
  <c r="I6" i="59"/>
  <c r="E89" i="80"/>
  <c r="I49" i="73"/>
  <c r="F32" i="68"/>
  <c r="L100" i="59"/>
  <c r="L14" i="34"/>
  <c r="K27" i="35"/>
  <c r="L103" i="41"/>
  <c r="O62" i="56"/>
  <c r="D73" i="36"/>
  <c r="D38" i="30"/>
  <c r="H83" i="62"/>
  <c r="O80" i="66"/>
  <c r="F43" i="85"/>
  <c r="M77" i="80"/>
  <c r="H79" i="81"/>
  <c r="D70" i="41"/>
  <c r="K70" i="51"/>
  <c r="N89" i="71"/>
  <c r="L35" i="76"/>
  <c r="H73" i="55"/>
  <c r="D94" i="89"/>
  <c r="O48" i="48"/>
  <c r="I77" i="52"/>
  <c r="D7" i="48"/>
  <c r="D32" i="69"/>
  <c r="I98" i="59"/>
  <c r="I21" i="83"/>
  <c r="M95" i="54"/>
  <c r="D61" i="25"/>
  <c r="F95" i="46"/>
  <c r="G97" i="55"/>
  <c r="CC33" i="3"/>
  <c r="O7" i="76"/>
  <c r="H61" i="69"/>
  <c r="E94" i="61"/>
  <c r="G28" i="78"/>
  <c r="D106" i="49"/>
  <c r="G36" i="68"/>
  <c r="H16" i="70"/>
  <c r="E17" i="55"/>
  <c r="G74" i="92"/>
  <c r="H5" i="34"/>
  <c r="G29" i="46"/>
  <c r="G10" i="72"/>
  <c r="J17" i="25"/>
  <c r="K23" i="90"/>
  <c r="O39" i="33"/>
  <c r="L85" i="40"/>
  <c r="K82" i="67"/>
  <c r="J107" i="75"/>
  <c r="E97" i="26"/>
  <c r="D59" i="68"/>
  <c r="K35" i="19"/>
  <c r="D25" i="66"/>
  <c r="M57" i="40"/>
  <c r="D12" i="41"/>
  <c r="D41" i="67"/>
  <c r="E97" i="40"/>
  <c r="G30" i="89"/>
  <c r="F62" i="60"/>
  <c r="I91" i="43"/>
  <c r="M101" i="66"/>
  <c r="F89" i="51"/>
  <c r="M37" i="71"/>
  <c r="J34" i="25"/>
  <c r="M85" i="72"/>
  <c r="E26" i="33"/>
  <c r="D79" i="85"/>
  <c r="E20" i="46"/>
  <c r="N65"/>
  <c r="J56" i="92"/>
  <c r="B12" i="97"/>
  <c r="F70" i="75"/>
  <c r="O62" i="51"/>
  <c r="L55" i="58"/>
  <c r="J37" i="26"/>
  <c r="M33" i="67"/>
  <c r="N74" i="46"/>
  <c r="K18" i="70"/>
  <c r="D15" i="89"/>
  <c r="D61" i="75"/>
  <c r="J38" i="87"/>
  <c r="G28" i="73"/>
  <c r="L34" i="41"/>
  <c r="E79" i="81"/>
  <c r="M65" i="59"/>
  <c r="M100" i="57"/>
  <c r="N82" i="93"/>
  <c r="K22" i="34"/>
  <c r="E32" i="25"/>
  <c r="H100" i="35"/>
  <c r="M64" i="39"/>
  <c r="I85" i="68"/>
  <c r="L19" i="46"/>
  <c r="K98" i="86"/>
  <c r="G11" i="54"/>
  <c r="G18" i="85"/>
  <c r="J46" i="39"/>
  <c r="K30" i="45"/>
  <c r="M83" i="43"/>
  <c r="M71" i="47"/>
  <c r="L89" i="53"/>
  <c r="L88" i="64"/>
  <c r="H44" i="40"/>
  <c r="G23" i="93"/>
  <c r="F47" i="46"/>
  <c r="I25" i="47"/>
  <c r="E73" i="54"/>
  <c r="G33" i="76"/>
  <c r="M28" i="94"/>
  <c r="N46" i="66"/>
  <c r="I30" i="92"/>
  <c r="J95" i="49"/>
  <c r="H95" i="57"/>
  <c r="N31" i="61"/>
  <c r="H97" i="94"/>
  <c r="F64" i="72"/>
  <c r="I98" i="33"/>
  <c r="E22" i="92"/>
  <c r="K85" i="83"/>
  <c r="J39" i="47"/>
  <c r="M79" i="77"/>
  <c r="H65" i="85"/>
  <c r="M68" i="65"/>
  <c r="G51" i="19"/>
  <c r="L51" i="27"/>
  <c r="H32" i="32"/>
  <c r="F32" i="89"/>
  <c r="G82" i="73"/>
  <c r="F51" i="57"/>
  <c r="L88" i="43"/>
  <c r="J23" i="82"/>
  <c r="L30" i="61"/>
  <c r="L71" i="73"/>
  <c r="D5" i="93"/>
  <c r="H29" i="62"/>
  <c r="M18" i="59"/>
  <c r="CC27" i="3"/>
  <c r="G67" i="27"/>
  <c r="J6"/>
  <c r="J15" i="26"/>
  <c r="L67" i="46"/>
  <c r="K83" i="55"/>
  <c r="H14" i="32"/>
  <c r="F58" i="77"/>
  <c r="F85" i="30"/>
  <c r="M41" i="34"/>
  <c r="N106" i="87"/>
  <c r="D42" i="85"/>
  <c r="O19" i="76"/>
  <c r="N10" i="60"/>
  <c r="G59" i="91"/>
  <c r="M4" i="29"/>
  <c r="H10" i="41"/>
  <c r="O50" i="91"/>
  <c r="I10" i="69"/>
  <c r="I50" i="41"/>
  <c r="J62" i="87"/>
  <c r="J13" i="51"/>
  <c r="F89" i="71"/>
  <c r="D68" i="94"/>
  <c r="J44" i="81"/>
  <c r="I32" i="53"/>
  <c r="K31" i="41"/>
  <c r="K41" i="38"/>
  <c r="G97" i="85"/>
  <c r="M65" i="67"/>
  <c r="L35" i="45"/>
  <c r="H70" i="29"/>
  <c r="M20" i="25"/>
  <c r="J50" i="49"/>
  <c r="D59" i="56"/>
  <c r="I50" i="57"/>
  <c r="N91" i="74"/>
  <c r="I97" i="25"/>
  <c r="O8" i="64"/>
  <c r="D85" i="89"/>
  <c r="F39" i="73"/>
  <c r="J39" i="57"/>
  <c r="N15" i="83"/>
  <c r="M82" i="76"/>
  <c r="M62" i="29"/>
  <c r="H92" i="68"/>
  <c r="K42" i="57"/>
  <c r="D74" i="56"/>
  <c r="O22" i="82"/>
  <c r="N13" i="29"/>
  <c r="G35" i="52"/>
  <c r="M14" i="29"/>
  <c r="J20" i="45"/>
  <c r="M40" i="54"/>
  <c r="K8" i="81"/>
  <c r="L98" i="87"/>
  <c r="H62" i="34"/>
  <c r="L67" i="33"/>
  <c r="E7" i="45"/>
  <c r="N61" i="63"/>
  <c r="H25" i="86"/>
  <c r="F30" i="60"/>
  <c r="M54" i="75"/>
  <c r="M82" i="93"/>
  <c r="F85" i="84"/>
  <c r="M38" i="73"/>
  <c r="K59" i="58"/>
  <c r="L54" i="54"/>
  <c r="F19" i="83"/>
  <c r="M14" i="89"/>
  <c r="L4" i="78"/>
  <c r="K10" i="36"/>
  <c r="M100" i="55"/>
  <c r="G47" i="78"/>
  <c r="N8" i="46"/>
  <c r="E29" i="30"/>
  <c r="N104" i="53"/>
  <c r="M82" i="25"/>
  <c r="L13" i="81"/>
  <c r="I38" i="94"/>
  <c r="K73" i="33"/>
  <c r="D58" i="44"/>
  <c r="N20" i="93"/>
  <c r="D25" i="84"/>
  <c r="K103" i="45"/>
  <c r="F54" i="53"/>
  <c r="J107" i="51"/>
  <c r="M23" i="70"/>
  <c r="J103" i="74"/>
  <c r="G50" i="34"/>
  <c r="J23" i="44"/>
  <c r="J82" i="71"/>
  <c r="M7" i="58"/>
  <c r="K77" i="72"/>
  <c r="N68" i="78"/>
  <c r="J47" i="71"/>
  <c r="I94" i="80"/>
  <c r="O98" i="61"/>
  <c r="H24" i="80"/>
  <c r="H98" i="84"/>
  <c r="F11" i="77"/>
  <c r="O77" i="27"/>
  <c r="H17"/>
  <c r="H77" i="50"/>
  <c r="L38" i="54"/>
  <c r="L73" i="94"/>
  <c r="J76" i="53"/>
  <c r="D56" i="85"/>
  <c r="D107" i="32"/>
  <c r="F106" i="58"/>
  <c r="M82" i="53"/>
  <c r="K34" i="33"/>
  <c r="H8" i="64"/>
  <c r="J92" i="41"/>
  <c r="G9" i="80"/>
  <c r="D29" i="87"/>
  <c r="I97" i="53"/>
  <c r="F86" i="77"/>
  <c r="N82" i="83"/>
  <c r="I11" i="76"/>
  <c r="H92" i="27"/>
  <c r="L55" i="75"/>
  <c r="D50" i="54"/>
  <c r="L8" i="32"/>
  <c r="F22" i="35"/>
  <c r="O52" i="80"/>
  <c r="K65" i="40"/>
  <c r="O101" i="57"/>
  <c r="H95" i="70"/>
  <c r="F5" i="61"/>
  <c r="I64" i="69"/>
  <c r="D106" i="30"/>
  <c r="D106" i="81"/>
  <c r="H56" i="26"/>
  <c r="I67" i="94"/>
  <c r="G97" i="35"/>
  <c r="M86" i="78"/>
  <c r="K64" i="76"/>
  <c r="F103" i="30"/>
  <c r="K82" i="69"/>
  <c r="N95" i="45"/>
  <c r="H6" i="58"/>
  <c r="L43" i="36"/>
  <c r="H107" i="83"/>
  <c r="J52" i="65"/>
  <c r="M65" i="30"/>
  <c r="N92" i="78"/>
  <c r="D94" i="39"/>
  <c r="N62" i="48"/>
  <c r="G52" i="26"/>
  <c r="F70" i="64"/>
  <c r="J35" i="81"/>
  <c r="G27" i="43"/>
  <c r="CD28" i="3"/>
  <c r="G56" i="30"/>
  <c r="K28" i="90"/>
  <c r="O13" i="73"/>
  <c r="J41" i="40"/>
  <c r="L49" i="75"/>
  <c r="I26" i="40"/>
  <c r="K67" i="74"/>
  <c r="M53" i="57"/>
  <c r="D32" i="72"/>
  <c r="M48" i="19"/>
  <c r="K47" i="76"/>
  <c r="J107" i="91"/>
  <c r="K11" i="46"/>
  <c r="G7" i="75"/>
  <c r="M89" i="48"/>
  <c r="D62" i="47"/>
  <c r="F34" i="60"/>
  <c r="L54" i="66"/>
  <c r="I19" i="29"/>
  <c r="K34" i="61"/>
  <c r="M32" i="58"/>
  <c r="F26" i="45"/>
  <c r="E33" i="62"/>
  <c r="G52" i="94"/>
  <c r="G16" i="69"/>
  <c r="H71" i="49"/>
  <c r="D95" i="76"/>
  <c r="I62" i="34"/>
  <c r="J49" i="45"/>
  <c r="L107" i="19"/>
  <c r="E34" i="76"/>
  <c r="H95" i="38"/>
  <c r="H42" i="62"/>
  <c r="N25" i="63"/>
  <c r="F26" i="53"/>
  <c r="E4" i="67"/>
  <c r="M13" i="41"/>
  <c r="E19" i="73"/>
  <c r="L46" i="38"/>
  <c r="E73" i="42"/>
  <c r="K107" i="91"/>
  <c r="G104" i="40"/>
  <c r="N95" i="76"/>
  <c r="O44" i="71"/>
  <c r="F46" i="42"/>
  <c r="F22" i="40"/>
  <c r="N79" i="46"/>
  <c r="K55" i="48"/>
  <c r="H17" i="40"/>
  <c r="F12" i="84"/>
  <c r="G89" i="27"/>
  <c r="J9" i="50"/>
  <c r="N73" i="81"/>
  <c r="H4" i="68"/>
  <c r="I23" i="86"/>
  <c r="K82" i="94"/>
  <c r="I61" i="68"/>
  <c r="M14" i="56"/>
  <c r="O104" i="48"/>
  <c r="I43" i="29"/>
  <c r="J28" i="73"/>
  <c r="G25" i="93"/>
  <c r="H103" i="77"/>
  <c r="E106" i="63"/>
  <c r="M53" i="38"/>
  <c r="H51" i="60"/>
  <c r="N51" i="61"/>
  <c r="E44" i="92"/>
  <c r="I104" i="93"/>
  <c r="I18" i="36"/>
  <c r="O67" i="44"/>
  <c r="K50" i="47"/>
  <c r="M71" i="48"/>
  <c r="D27" i="69"/>
  <c r="K107" i="72"/>
  <c r="I39"/>
  <c r="H83" i="92"/>
  <c r="O85" i="41"/>
  <c r="M11" i="83"/>
  <c r="G16" i="50"/>
  <c r="N97" i="38"/>
  <c r="O9" i="82"/>
  <c r="F10" i="55"/>
  <c r="F94" i="58"/>
  <c r="E13" i="72"/>
  <c r="M39" i="87"/>
  <c r="J21" i="48"/>
  <c r="K55" i="30"/>
  <c r="M65" i="80"/>
  <c r="D22" i="46"/>
  <c r="J100" i="87"/>
  <c r="G101" i="93"/>
  <c r="N79" i="38"/>
  <c r="K103" i="49"/>
  <c r="D82" i="36"/>
  <c r="M77" i="71"/>
  <c r="K68" i="34"/>
  <c r="F57" i="72"/>
  <c r="F50" i="53"/>
  <c r="G27" i="45"/>
  <c r="H41" i="84"/>
  <c r="M29" i="34"/>
  <c r="N48" i="25"/>
  <c r="I43" i="81"/>
  <c r="G103" i="94"/>
  <c r="N50" i="43"/>
  <c r="H77" i="62"/>
  <c r="E77" i="80"/>
  <c r="M6" i="86"/>
  <c r="O104" i="45"/>
  <c r="H14" i="47"/>
  <c r="I15" i="59"/>
  <c r="L10" i="84"/>
  <c r="J68" i="41"/>
  <c r="L76" i="80"/>
  <c r="D100" i="73"/>
  <c r="M70" i="89"/>
  <c r="J34" i="82"/>
  <c r="D34" i="84"/>
  <c r="O13" i="53"/>
  <c r="E61" i="34"/>
  <c r="O67" i="61"/>
  <c r="M30" i="77"/>
  <c r="D7" i="55"/>
  <c r="I40" i="42"/>
  <c r="I47" i="56"/>
  <c r="K77"/>
  <c r="L6" i="92"/>
  <c r="L57" i="27"/>
  <c r="H94" i="33"/>
  <c r="H37" i="75"/>
  <c r="I54" i="34"/>
  <c r="M33" i="86"/>
  <c r="K91" i="65"/>
  <c r="H47" i="51"/>
  <c r="N73" i="39"/>
  <c r="D106" i="51"/>
  <c r="J42" i="36"/>
  <c r="L67" i="61"/>
  <c r="K19" i="46"/>
  <c r="F80" i="35"/>
  <c r="H100" i="63"/>
  <c r="E47" i="82"/>
  <c r="J11" i="83"/>
  <c r="I76" i="45"/>
  <c r="O79" i="68"/>
  <c r="H98" i="87"/>
  <c r="E68" i="69"/>
  <c r="M12" i="74"/>
  <c r="M25" i="60"/>
  <c r="E73" i="56"/>
  <c r="E31" i="39"/>
  <c r="H30" i="38"/>
  <c r="M34" i="61"/>
  <c r="I33" i="79"/>
  <c r="M14" i="70"/>
  <c r="N22" i="32"/>
  <c r="K83" i="92"/>
  <c r="I49" i="43"/>
  <c r="I41" i="89"/>
  <c r="L33" i="58"/>
  <c r="E4" i="70"/>
  <c r="G86" i="73"/>
  <c r="K13" i="30"/>
  <c r="F58" i="79"/>
  <c r="E43" i="41"/>
  <c r="F95" i="87"/>
  <c r="M46" i="94"/>
  <c r="N8" i="57"/>
  <c r="H34" i="44"/>
  <c r="I39" i="33"/>
  <c r="J57" i="94"/>
  <c r="J67" i="70"/>
  <c r="G104" i="81"/>
  <c r="I26" i="54"/>
  <c r="H76" i="27"/>
  <c r="F107"/>
  <c r="G59" i="50"/>
  <c r="E6"/>
  <c r="K38" i="87"/>
  <c r="I23" i="67"/>
  <c r="N77" i="39"/>
  <c r="G24" i="92"/>
  <c r="D38" i="79"/>
  <c r="G98" i="52"/>
  <c r="D79" i="73"/>
  <c r="D89" i="35"/>
  <c r="L16" i="41"/>
  <c r="F54" i="92"/>
  <c r="N104" i="55"/>
  <c r="K82" i="77"/>
  <c r="G98" i="83"/>
  <c r="F7" i="74"/>
  <c r="M43" i="57"/>
  <c r="K103" i="33"/>
  <c r="E92" i="65"/>
  <c r="N76" i="93"/>
  <c r="D40" i="61"/>
  <c r="H71" i="92"/>
  <c r="O88" i="46"/>
  <c r="M5" i="19"/>
  <c r="D23" i="85"/>
  <c r="J48" i="71"/>
  <c r="I8" i="64"/>
  <c r="G33" i="63"/>
  <c r="F25" i="52"/>
  <c r="G106" i="72"/>
  <c r="L89" i="46"/>
  <c r="I20" i="60"/>
  <c r="K40" i="78"/>
  <c r="E76" i="93"/>
  <c r="G22" i="44"/>
  <c r="D91" i="81"/>
  <c r="O86" i="56"/>
  <c r="I62" i="30"/>
  <c r="L12" i="32"/>
  <c r="K12" i="64"/>
  <c r="J19" i="36"/>
  <c r="H54" i="32"/>
  <c r="D89" i="19"/>
  <c r="D7" i="86"/>
  <c r="N39" i="70"/>
  <c r="M77" i="46"/>
  <c r="H86" i="63"/>
  <c r="L86" i="92"/>
  <c r="O50" i="72"/>
  <c r="M7" i="47"/>
  <c r="M80" i="51"/>
  <c r="G59" i="54"/>
  <c r="K4" i="93"/>
  <c r="L10" i="63"/>
  <c r="M10" i="39"/>
  <c r="H9" i="60"/>
  <c r="E31" i="76"/>
  <c r="H22" i="38"/>
  <c r="F89" i="92"/>
  <c r="I29" i="46"/>
  <c r="L98" i="25"/>
  <c r="D82" i="73"/>
  <c r="J73" i="64"/>
  <c r="CD36" i="3"/>
  <c r="G6" i="25"/>
  <c r="O13" i="29"/>
  <c r="D68" i="46"/>
  <c r="I52" i="60"/>
  <c r="K47" i="63"/>
  <c r="O11" i="41"/>
  <c r="L94" i="77"/>
  <c r="L9" i="76"/>
  <c r="H36" i="58"/>
  <c r="M30" i="57"/>
  <c r="L74" i="92"/>
  <c r="F5" i="73"/>
  <c r="N33" i="83"/>
  <c r="H8" i="40"/>
  <c r="D53" i="53"/>
  <c r="E61" i="90"/>
  <c r="K40" i="66"/>
  <c r="F55" i="91"/>
  <c r="I38"/>
  <c r="F64" i="27"/>
  <c r="K82" i="87"/>
  <c r="J26" i="83"/>
  <c r="E68" i="38"/>
  <c r="E50" i="70"/>
  <c r="O71" i="46"/>
  <c r="E16" i="51"/>
  <c r="O79" i="46"/>
  <c r="D98" i="54"/>
  <c r="K54" i="94"/>
  <c r="M8" i="77"/>
  <c r="K64" i="51"/>
  <c r="H49" i="64"/>
  <c r="I18" i="83"/>
  <c r="I16" i="39"/>
  <c r="M56" i="35"/>
  <c r="H5" i="65"/>
  <c r="D31" i="75"/>
  <c r="F52" i="77"/>
  <c r="L6" i="48"/>
  <c r="E8" i="45"/>
  <c r="J67" i="64"/>
  <c r="J18" i="71"/>
  <c r="K39" i="63"/>
  <c r="N17" i="56"/>
  <c r="J65" i="32"/>
  <c r="J15" i="39"/>
  <c r="O14" i="30"/>
  <c r="D80" i="68"/>
  <c r="D25" i="50"/>
  <c r="J56" i="74"/>
  <c r="H42" i="41"/>
  <c r="D47" i="70"/>
  <c r="D22" i="62"/>
  <c r="D19" i="65"/>
  <c r="F107" i="40"/>
  <c r="M30" i="86"/>
  <c r="M44" i="80"/>
  <c r="E10" i="41"/>
  <c r="J51" i="84"/>
  <c r="N32" i="90"/>
  <c r="E64" i="50"/>
  <c r="G23" i="40"/>
  <c r="I34" i="72"/>
  <c r="J24" i="79"/>
  <c r="D25" i="70"/>
  <c r="G80" i="92"/>
  <c r="O58" i="91"/>
  <c r="O39" i="34"/>
  <c r="D23" i="71"/>
  <c r="I77" i="73"/>
  <c r="M6" i="29"/>
  <c r="E61" i="35"/>
  <c r="K61" i="92"/>
  <c r="F44" i="40"/>
  <c r="M85" i="30"/>
  <c r="D12" i="48"/>
  <c r="D25" i="78"/>
  <c r="H10" i="30"/>
  <c r="L73" i="40"/>
  <c r="L31" i="55"/>
  <c r="L61" i="63"/>
  <c r="D6" i="38"/>
  <c r="E73" i="50"/>
  <c r="J15" i="83"/>
  <c r="M77" i="65"/>
  <c r="D31" i="30"/>
  <c r="H7" i="62"/>
  <c r="J6" i="72"/>
  <c r="O95" i="90"/>
  <c r="H77" i="53"/>
  <c r="N11" i="72"/>
  <c r="K20" i="70"/>
  <c r="F76" i="26"/>
  <c r="H35" i="86"/>
  <c r="J88" i="29"/>
  <c r="O94" i="39"/>
  <c r="J82" i="46"/>
  <c r="M27" i="66"/>
  <c r="K89" i="36"/>
  <c r="N76" i="43"/>
  <c r="J106" i="69"/>
  <c r="J12" i="71"/>
  <c r="M79" i="67"/>
  <c r="K7" i="69"/>
  <c r="D77" i="76"/>
  <c r="E43" i="35"/>
  <c r="N29" i="74"/>
  <c r="J67" i="55"/>
  <c r="O103" i="45"/>
  <c r="L14" i="70"/>
  <c r="O34" i="81"/>
  <c r="D94" i="38"/>
  <c r="H45" i="93"/>
  <c r="E5" i="50"/>
  <c r="D26" i="27"/>
  <c r="L16" i="51"/>
  <c r="N14" i="59"/>
  <c r="F103" i="73"/>
  <c r="F4" i="47"/>
  <c r="H30" i="49"/>
  <c r="L19" i="84"/>
  <c r="H74" i="48"/>
  <c r="F82" i="80"/>
  <c r="I12" i="27"/>
  <c r="G80" i="66"/>
  <c r="G31" i="87"/>
  <c r="I70" i="51"/>
  <c r="E18" i="93"/>
  <c r="J23" i="86"/>
  <c r="F73" i="72"/>
  <c r="G88" i="55"/>
  <c r="H54" i="84"/>
  <c r="K64" i="26"/>
  <c r="M21" i="45"/>
  <c r="F30" i="35"/>
  <c r="J32" i="39"/>
  <c r="N71" i="19"/>
  <c r="F52" i="33"/>
  <c r="E12" i="52"/>
  <c r="N79" i="71"/>
  <c r="D9" i="57"/>
  <c r="H59" i="79"/>
  <c r="F15" i="35"/>
  <c r="I19" i="81"/>
  <c r="D55" i="71"/>
  <c r="O13" i="51"/>
  <c r="I95" i="65"/>
  <c r="O32" i="91"/>
  <c r="L97" i="83"/>
  <c r="M29" i="74"/>
  <c r="M65" i="68"/>
  <c r="J10" i="47"/>
  <c r="F77" i="49"/>
  <c r="E10" i="63"/>
  <c r="L29" i="60"/>
  <c r="I24" i="61"/>
  <c r="E53" i="78"/>
  <c r="M14" i="27"/>
  <c r="G59" i="62"/>
  <c r="K13" i="69"/>
  <c r="I53" i="83"/>
  <c r="J80" i="38"/>
  <c r="H46" i="69"/>
  <c r="D70" i="72"/>
  <c r="N10" i="19"/>
  <c r="M4" i="82"/>
  <c r="I103" i="35"/>
  <c r="I103" i="42"/>
  <c r="L106" i="80"/>
  <c r="N79" i="34"/>
  <c r="H32" i="48"/>
  <c r="J30" i="61"/>
  <c r="N107" i="63"/>
  <c r="F65" i="38"/>
  <c r="L91" i="70"/>
  <c r="J43" i="26"/>
  <c r="K71"/>
  <c r="L26" i="51"/>
  <c r="L107" i="45"/>
  <c r="G106" i="65"/>
  <c r="I25" i="44"/>
  <c r="G8" i="69"/>
  <c r="M30" i="25"/>
  <c r="M33" i="74"/>
  <c r="H95" i="65"/>
  <c r="I16" i="83"/>
  <c r="G55" i="53"/>
  <c r="K94" i="35"/>
  <c r="I56" i="40"/>
  <c r="J13" i="83"/>
  <c r="L26" i="32"/>
  <c r="N26"/>
  <c r="K92" i="43"/>
  <c r="K9" i="26"/>
  <c r="K68" i="69"/>
  <c r="E42" i="71"/>
  <c r="J14" i="56"/>
  <c r="N43" i="53"/>
  <c r="N45" i="59"/>
  <c r="K46" i="45"/>
  <c r="K49" i="41"/>
  <c r="G52" i="87"/>
  <c r="M92" i="26"/>
  <c r="E16" i="81"/>
  <c r="L52" i="40"/>
  <c r="G37" i="94"/>
  <c r="I33" i="72"/>
  <c r="O39" i="36"/>
  <c r="D46" i="47"/>
  <c r="H35" i="34"/>
  <c r="F46" i="66"/>
  <c r="E85" i="49"/>
  <c r="G88" i="78"/>
  <c r="F82" i="41"/>
  <c r="M24" i="69"/>
  <c r="N62" i="34"/>
  <c r="J41" i="79"/>
  <c r="J25" i="43"/>
  <c r="J28" i="81"/>
  <c r="K34" i="35"/>
  <c r="K39"/>
  <c r="O88" i="19"/>
  <c r="I45" i="62"/>
  <c r="I56" i="48"/>
  <c r="E16" i="55"/>
  <c r="G8" i="87"/>
  <c r="F9" i="50"/>
  <c r="L65" i="90"/>
  <c r="O31" i="71"/>
  <c r="D29" i="90"/>
  <c r="I58" i="81"/>
  <c r="M88" i="36"/>
  <c r="G45" i="83"/>
  <c r="K100" i="91"/>
  <c r="H18" i="32"/>
  <c r="I40" i="46"/>
  <c r="M10" i="90"/>
  <c r="J73" i="91"/>
  <c r="O56" i="32"/>
  <c r="O9" i="44"/>
  <c r="M74" i="80"/>
  <c r="J29" i="71"/>
  <c r="K89" i="38"/>
  <c r="H14" i="89"/>
  <c r="E50" i="64"/>
  <c r="G88" i="67"/>
  <c r="I82" i="80"/>
  <c r="O50" i="77"/>
  <c r="H92" i="19"/>
  <c r="K26"/>
  <c r="L52" i="90"/>
  <c r="N98" i="53"/>
  <c r="K56" i="68"/>
  <c r="E58" i="40"/>
  <c r="I50" i="68"/>
  <c r="N49" i="55"/>
  <c r="L4" i="67"/>
  <c r="I44" i="59"/>
  <c r="I91" i="89"/>
  <c r="O104" i="60"/>
  <c r="E107" i="40"/>
  <c r="O83" i="65"/>
  <c r="G38" i="62"/>
  <c r="I97" i="89"/>
  <c r="O19" i="19"/>
  <c r="N48" i="56"/>
  <c r="H49" i="73"/>
  <c r="E26" i="47"/>
  <c r="G49" i="76"/>
  <c r="E53" i="84"/>
  <c r="M67" i="47"/>
  <c r="F29" i="66"/>
  <c r="F104" i="27"/>
  <c r="H23" i="65"/>
  <c r="D5" i="45"/>
  <c r="O5" i="56"/>
  <c r="K62" i="54"/>
  <c r="I28" i="67"/>
  <c r="N57" i="73"/>
  <c r="D62" i="91"/>
  <c r="H88" i="59"/>
  <c r="K21" i="61"/>
  <c r="M35" i="65"/>
  <c r="H103" i="63"/>
  <c r="H37" i="56"/>
  <c r="F106"/>
  <c r="E98" i="79"/>
  <c r="D68" i="32"/>
  <c r="E95" i="19"/>
  <c r="I80" i="65"/>
  <c r="L83" i="80"/>
  <c r="G6" i="59"/>
  <c r="D12" i="76"/>
  <c r="E71" i="41"/>
  <c r="E33" i="66"/>
  <c r="D54" i="25"/>
  <c r="K91" i="74"/>
  <c r="M36" i="69"/>
  <c r="J74" i="82"/>
  <c r="H101" i="73"/>
  <c r="E88" i="69"/>
  <c r="M9" i="44"/>
  <c r="L7" i="29"/>
  <c r="L79" i="94"/>
  <c r="D97" i="50"/>
  <c r="H80" i="67"/>
  <c r="F103" i="36"/>
  <c r="F37" i="89"/>
  <c r="F55" i="79"/>
  <c r="J98" i="84"/>
  <c r="M80" i="90"/>
  <c r="G56" i="91"/>
  <c r="L38" i="73"/>
  <c r="N9" i="71"/>
  <c r="J53" i="29"/>
  <c r="O77" i="26"/>
  <c r="L57" i="49"/>
  <c r="H71" i="79"/>
  <c r="L91" i="27"/>
  <c r="E41" i="43"/>
  <c r="L23" i="69"/>
  <c r="N27" i="91"/>
  <c r="E7" i="34"/>
  <c r="G7" i="59"/>
  <c r="N42" i="29"/>
  <c r="G85" i="36"/>
  <c r="L79" i="65"/>
  <c r="L22" i="78"/>
  <c r="D35" i="38"/>
  <c r="F41" i="74"/>
  <c r="N43" i="75"/>
  <c r="E42" i="47"/>
  <c r="M77" i="61"/>
  <c r="J65" i="91"/>
  <c r="M51" i="39"/>
  <c r="E95" i="51"/>
  <c r="N104" i="86"/>
  <c r="J7" i="51"/>
  <c r="K33" i="84"/>
  <c r="H32" i="77"/>
  <c r="D70" i="33"/>
  <c r="H83" i="51"/>
  <c r="M32" i="19"/>
  <c r="F22" i="78"/>
  <c r="F98" i="60"/>
  <c r="N31" i="84"/>
  <c r="F49" i="71"/>
  <c r="O11" i="34"/>
  <c r="N44" i="63"/>
  <c r="M53" i="41"/>
  <c r="F14" i="49"/>
  <c r="N47" i="59"/>
  <c r="F4" i="43"/>
  <c r="I85" i="52"/>
  <c r="L17" i="25"/>
  <c r="J27" i="79"/>
  <c r="F73" i="63"/>
  <c r="G59" i="32"/>
  <c r="N35" i="40"/>
  <c r="J20" i="62"/>
  <c r="O25" i="55"/>
  <c r="N29" i="81"/>
  <c r="J45" i="72"/>
  <c r="M70" i="61"/>
  <c r="M29" i="75"/>
  <c r="J45" i="36"/>
  <c r="D41" i="35"/>
  <c r="F104" i="53"/>
  <c r="N34" i="25"/>
  <c r="H77" i="54"/>
  <c r="G86" i="65"/>
  <c r="I70" i="30"/>
  <c r="K16" i="62"/>
  <c r="E34" i="19"/>
  <c r="N21" i="93"/>
  <c r="K12" i="19"/>
  <c r="L23" i="62"/>
  <c r="E13" i="27"/>
  <c r="O74" i="70"/>
  <c r="J103" i="82"/>
  <c r="N28" i="48"/>
  <c r="N25" i="69"/>
  <c r="I29" i="79"/>
  <c r="J16" i="27"/>
  <c r="I7" i="87"/>
  <c r="O56" i="53"/>
  <c r="L92" i="62"/>
  <c r="I29" i="80"/>
  <c r="F46" i="93"/>
  <c r="D107" i="85"/>
  <c r="K77" i="49"/>
  <c r="I13" i="32"/>
  <c r="E44" i="86"/>
  <c r="D26" i="33"/>
  <c r="M38" i="87"/>
  <c r="K55" i="63"/>
  <c r="D97" i="43"/>
  <c r="H39" i="46"/>
  <c r="N73" i="71"/>
  <c r="N10" i="74"/>
  <c r="I54" i="40"/>
  <c r="G103" i="44"/>
  <c r="K88" i="63"/>
  <c r="F15" i="46"/>
  <c r="J83" i="25"/>
  <c r="I32" i="76"/>
  <c r="E48" i="78"/>
  <c r="O32" i="83"/>
  <c r="O19" i="67"/>
  <c r="L14" i="38"/>
  <c r="O9" i="64"/>
  <c r="H43" i="83"/>
  <c r="N107" i="54"/>
  <c r="D16" i="77"/>
  <c r="O51" i="60"/>
  <c r="M10" i="94"/>
  <c r="H100" i="72"/>
  <c r="G42" i="38"/>
  <c r="E41" i="60"/>
  <c r="H65" i="87"/>
  <c r="F77" i="36"/>
  <c r="O104" i="90"/>
  <c r="J26" i="77"/>
  <c r="M24" i="87"/>
  <c r="K37" i="86"/>
  <c r="J88" i="62"/>
  <c r="O23" i="74"/>
  <c r="K13" i="25"/>
  <c r="H47" i="85"/>
  <c r="M20" i="74"/>
  <c r="F14" i="89"/>
  <c r="D29" i="72"/>
  <c r="D6" i="51"/>
  <c r="O33" i="39"/>
  <c r="L13" i="92"/>
  <c r="I46" i="76"/>
  <c r="D54" i="39"/>
  <c r="E71" i="93"/>
  <c r="D49" i="87"/>
  <c r="F67" i="94"/>
  <c r="M24" i="56"/>
  <c r="E40" i="87"/>
  <c r="I36" i="70"/>
  <c r="E54" i="57"/>
  <c r="N73" i="80"/>
  <c r="J10" i="34"/>
  <c r="N8" i="87"/>
  <c r="J100" i="78"/>
  <c r="I40" i="90"/>
  <c r="M24" i="30"/>
  <c r="N50" i="29"/>
  <c r="G89" i="53"/>
  <c r="N53" i="43"/>
  <c r="K47" i="72"/>
  <c r="E107" i="59"/>
  <c r="J43" i="90"/>
  <c r="J48" i="80"/>
  <c r="N79" i="43"/>
  <c r="O11" i="56"/>
  <c r="E83" i="45"/>
  <c r="J95" i="86"/>
  <c r="L7" i="55"/>
  <c r="L50" i="34"/>
  <c r="E101" i="57"/>
  <c r="K19" i="65"/>
  <c r="M12" i="78"/>
  <c r="J67" i="38"/>
  <c r="E5" i="90"/>
  <c r="J68" i="61"/>
  <c r="D30" i="74"/>
  <c r="G38" i="60"/>
  <c r="E40" i="38"/>
  <c r="D55" i="25"/>
  <c r="L103" i="87"/>
  <c r="M94" i="81"/>
  <c r="J50" i="77"/>
  <c r="F23" i="19"/>
  <c r="M92" i="89"/>
  <c r="G53" i="33"/>
  <c r="M4" i="84"/>
  <c r="J35" i="77"/>
  <c r="F4" i="61"/>
  <c r="M12" i="57"/>
  <c r="J107" i="49"/>
  <c r="M27" i="78"/>
  <c r="J55" i="49"/>
  <c r="F97"/>
  <c r="E30" i="38"/>
  <c r="E23" i="43"/>
  <c r="G30" i="60"/>
  <c r="L53" i="76"/>
  <c r="F41" i="34"/>
  <c r="M62"/>
  <c r="H76" i="91"/>
  <c r="M41" i="35"/>
  <c r="E45" i="49"/>
  <c r="O4" i="66"/>
  <c r="N76" i="61"/>
  <c r="CL34" i="3"/>
  <c r="H10" i="85"/>
  <c r="F80" i="25"/>
  <c r="D24" i="52"/>
  <c r="L73" i="84"/>
  <c r="K82" i="64"/>
  <c r="F30" i="85"/>
  <c r="H64" i="73"/>
  <c r="K58" i="32"/>
  <c r="L32" i="39"/>
  <c r="N31" i="36"/>
  <c r="E33" i="82"/>
  <c r="G58" i="86"/>
  <c r="O103" i="91"/>
  <c r="O21" i="60"/>
  <c r="K74" i="48"/>
  <c r="G98" i="63"/>
  <c r="G35" i="34"/>
  <c r="F85" i="57"/>
  <c r="F54" i="87"/>
  <c r="K12" i="67"/>
  <c r="K58" i="55"/>
  <c r="L61" i="30"/>
  <c r="M17" i="90"/>
  <c r="O41" i="58"/>
  <c r="K97" i="92"/>
  <c r="H35" i="90"/>
  <c r="F43" i="33"/>
  <c r="D17" i="32"/>
  <c r="N52" i="86"/>
  <c r="O36" i="27"/>
  <c r="D36" i="26"/>
  <c r="I68" i="71"/>
  <c r="H32" i="94"/>
  <c r="M85" i="75"/>
  <c r="M22" i="57"/>
  <c r="M30" i="81"/>
  <c r="M6" i="60"/>
  <c r="L25" i="61"/>
  <c r="M86" i="47"/>
  <c r="D89" i="33"/>
  <c r="N6" i="48"/>
  <c r="D82" i="75"/>
  <c r="H37" i="29"/>
  <c r="N91" i="48"/>
  <c r="F30"/>
  <c r="G89" i="38"/>
  <c r="H77" i="93"/>
  <c r="E64" i="64"/>
  <c r="H62" i="60"/>
  <c r="M9" i="93"/>
  <c r="O95" i="51"/>
  <c r="I51" i="84"/>
  <c r="M21" i="74"/>
  <c r="J57" i="55"/>
  <c r="H83" i="89"/>
  <c r="G107" i="53"/>
  <c r="D13" i="49"/>
  <c r="N59" i="32"/>
  <c r="N59" i="35"/>
  <c r="M8" i="82"/>
  <c r="G41" i="46"/>
  <c r="N103" i="25"/>
  <c r="N34" i="49"/>
  <c r="D26" i="68"/>
  <c r="M92" i="70"/>
  <c r="M54" i="61"/>
  <c r="I23" i="25"/>
  <c r="I104"/>
  <c r="F82" i="84"/>
  <c r="F53" i="93"/>
  <c r="N101" i="74"/>
  <c r="O31" i="93"/>
  <c r="D107" i="76"/>
  <c r="J9" i="81"/>
  <c r="I38" i="41"/>
  <c r="L74" i="54"/>
  <c r="F57" i="19"/>
  <c r="D77" i="84"/>
  <c r="D48" i="26"/>
  <c r="N86" i="83"/>
  <c r="N41" i="87"/>
  <c r="M10" i="40"/>
  <c r="I58" i="63"/>
  <c r="D38" i="94"/>
  <c r="F76" i="45"/>
  <c r="K101" i="71"/>
  <c r="I33" i="77"/>
  <c r="K80" i="72"/>
  <c r="I9" i="79"/>
  <c r="O56" i="27"/>
  <c r="N62" i="47"/>
  <c r="I10" i="19"/>
  <c r="F80" i="66"/>
  <c r="M51" i="74"/>
  <c r="F103" i="45"/>
  <c r="O14" i="63"/>
  <c r="H71" i="51"/>
  <c r="G64" i="50"/>
  <c r="E39" i="65"/>
  <c r="O17" i="90"/>
  <c r="K7" i="36"/>
  <c r="F23" i="59"/>
  <c r="L29" i="58"/>
  <c r="H31" i="64"/>
  <c r="K16"/>
  <c r="K80" i="53"/>
  <c r="N101" i="35"/>
  <c r="E82" i="49"/>
  <c r="J36" i="76"/>
  <c r="O82" i="46"/>
  <c r="K51" i="56"/>
  <c r="D79" i="39"/>
  <c r="K85" i="81"/>
  <c r="M80" i="67"/>
  <c r="N25" i="34"/>
  <c r="O28" i="80"/>
  <c r="J45" i="77"/>
  <c r="D86" i="32"/>
  <c r="I88" i="68"/>
  <c r="I85" i="80"/>
  <c r="J58" i="60"/>
  <c r="K11" i="27"/>
  <c r="G49" i="60"/>
  <c r="F28" i="85"/>
  <c r="I50" i="48"/>
  <c r="L14" i="69"/>
  <c r="E7" i="32"/>
  <c r="N26" i="87"/>
  <c r="L10" i="49"/>
  <c r="E18" i="64"/>
  <c r="J65" i="38"/>
  <c r="L7" i="76"/>
  <c r="O64" i="44"/>
  <c r="E77" i="56"/>
  <c r="H85" i="33"/>
  <c r="O85" i="34"/>
  <c r="D79" i="64"/>
  <c r="F89" i="89"/>
  <c r="J83" i="50"/>
  <c r="G48" i="84"/>
  <c r="M35" i="32"/>
  <c r="D49" i="64"/>
  <c r="H32" i="78"/>
  <c r="I68" i="58"/>
  <c r="CD66" i="3"/>
  <c r="E57" i="19"/>
  <c r="E9" i="45"/>
  <c r="I20" i="36"/>
  <c r="G101" i="90"/>
  <c r="G11" i="46"/>
  <c r="J9" i="68"/>
  <c r="H9" i="27"/>
  <c r="I68" i="77"/>
  <c r="E11" i="67"/>
  <c r="I91" i="85"/>
  <c r="H10" i="87"/>
  <c r="K70" i="57"/>
  <c r="K38" i="41"/>
  <c r="J20" i="80"/>
  <c r="H50" i="39"/>
  <c r="E8" i="46"/>
  <c r="N42" i="77"/>
  <c r="G58"/>
  <c r="D83" i="79"/>
  <c r="N50" i="68"/>
  <c r="L42" i="36"/>
  <c r="H97" i="81"/>
  <c r="J7" i="57"/>
  <c r="J37" i="25"/>
  <c r="L73" i="27"/>
  <c r="N76" i="67"/>
  <c r="I48" i="53"/>
  <c r="J20" i="93"/>
  <c r="D27" i="44"/>
  <c r="E6" i="36"/>
  <c r="G12" i="56"/>
  <c r="D97" i="58"/>
  <c r="J20" i="44"/>
  <c r="M29" i="33"/>
  <c r="L6" i="91"/>
  <c r="M21" i="82"/>
  <c r="N51" i="77"/>
  <c r="D34" i="46"/>
  <c r="O17" i="55"/>
  <c r="O76" i="73"/>
  <c r="E43" i="66"/>
  <c r="G43" i="26"/>
  <c r="M103" i="48"/>
  <c r="L19" i="89"/>
  <c r="M101" i="70"/>
  <c r="E19" i="29"/>
  <c r="L50" i="67"/>
  <c r="I36" i="19"/>
  <c r="E67" i="62"/>
  <c r="L18" i="40"/>
  <c r="M30" i="76"/>
  <c r="CC41" i="3"/>
  <c r="J50" i="83"/>
  <c r="N18" i="41"/>
  <c r="H76" i="51"/>
  <c r="L16" i="92"/>
  <c r="O70" i="73"/>
  <c r="F48" i="41"/>
  <c r="L98" i="49"/>
  <c r="F79" i="91"/>
  <c r="L6" i="57"/>
  <c r="G38" i="65"/>
  <c r="H67" i="52"/>
  <c r="G80" i="76"/>
  <c r="J8" i="45"/>
  <c r="E53" i="27"/>
  <c r="J70" i="67"/>
  <c r="N45" i="57"/>
  <c r="M71" i="32"/>
  <c r="G91" i="50"/>
  <c r="L10" i="70"/>
  <c r="D73" i="87"/>
  <c r="D44" i="84"/>
  <c r="J46" i="82"/>
  <c r="L53" i="19"/>
  <c r="K10" i="46"/>
  <c r="D41" i="36"/>
  <c r="E70" i="92"/>
  <c r="L103" i="48"/>
  <c r="E73" i="30"/>
  <c r="M15" i="55"/>
  <c r="E95" i="32"/>
  <c r="I82" i="51"/>
  <c r="D37" i="54"/>
  <c r="J56" i="78"/>
  <c r="J67" i="34"/>
  <c r="K77" i="62"/>
  <c r="N53" i="33"/>
  <c r="G104" i="73"/>
  <c r="F20" i="61"/>
  <c r="G52" i="57"/>
  <c r="D27" i="41"/>
  <c r="O100" i="60"/>
  <c r="J30" i="46"/>
  <c r="H91" i="49"/>
  <c r="D31" i="59"/>
  <c r="L95" i="56"/>
  <c r="D59" i="54"/>
  <c r="O26" i="76"/>
  <c r="G17" i="81"/>
  <c r="G34" i="84"/>
  <c r="H100" i="78"/>
  <c r="O100" i="69"/>
  <c r="E50" i="30"/>
  <c r="I106" i="26"/>
  <c r="N30" i="66"/>
  <c r="E4" i="62"/>
  <c r="E34" i="69"/>
  <c r="J53" i="77"/>
  <c r="D49" i="25"/>
  <c r="J97" i="47"/>
  <c r="F6" i="72"/>
  <c r="K70" i="92"/>
  <c r="M76" i="84"/>
  <c r="F77" i="60"/>
  <c r="L59" i="57"/>
  <c r="K31" i="64"/>
  <c r="F32" i="92"/>
  <c r="L19" i="32"/>
  <c r="M98" i="53"/>
  <c r="N31" i="45"/>
  <c r="F11" i="33"/>
  <c r="J21" i="82"/>
  <c r="N85" i="65"/>
  <c r="E6" i="85"/>
  <c r="H16" i="46"/>
  <c r="F28" i="54"/>
  <c r="N6" i="47"/>
  <c r="L7" i="57"/>
  <c r="L101" i="90"/>
  <c r="E58" i="32"/>
  <c r="J92" i="33"/>
  <c r="J31" i="25"/>
  <c r="I65" i="84"/>
  <c r="H41" i="82"/>
  <c r="I6" i="48"/>
  <c r="J58"/>
  <c r="J25" i="27"/>
  <c r="O49" i="75"/>
  <c r="J24" i="25"/>
  <c r="E37" i="78"/>
  <c r="O103" i="35"/>
  <c r="J50" i="87"/>
  <c r="F65" i="47"/>
  <c r="G104" i="33"/>
  <c r="F43" i="39"/>
  <c r="L24" i="33"/>
  <c r="I51" i="59"/>
  <c r="O53" i="33"/>
  <c r="E65" i="59"/>
  <c r="O35" i="78"/>
  <c r="F20" i="48"/>
  <c r="G97" i="68"/>
  <c r="E33" i="26"/>
  <c r="J10" i="77"/>
  <c r="H101" i="72"/>
  <c r="L48" i="55"/>
  <c r="M56" i="56"/>
  <c r="H39" i="53"/>
  <c r="F95" i="56"/>
  <c r="O82" i="43"/>
  <c r="H22" i="40"/>
  <c r="D50" i="56"/>
  <c r="G101" i="30"/>
  <c r="O74" i="91"/>
  <c r="L48" i="43"/>
  <c r="M8" i="60"/>
  <c r="CL62" i="3"/>
  <c r="M79" i="39"/>
  <c r="I67" i="29"/>
  <c r="E49" i="32"/>
  <c r="D52" i="72"/>
  <c r="N7" i="87"/>
  <c r="J74" i="45"/>
  <c r="N36" i="70"/>
  <c r="E21" i="90"/>
  <c r="H5" i="91"/>
  <c r="F45" i="75"/>
  <c r="D80" i="71"/>
  <c r="G22" i="69"/>
  <c r="G76" i="45"/>
  <c r="F46" i="27"/>
  <c r="I46" i="89"/>
  <c r="I74" i="60"/>
  <c r="E9" i="64"/>
  <c r="I20" i="58"/>
  <c r="L73" i="69"/>
  <c r="O52" i="84"/>
  <c r="N50" i="55"/>
  <c r="L37" i="57"/>
  <c r="O26" i="38"/>
  <c r="G77" i="48"/>
  <c r="D86" i="53"/>
  <c r="N44" i="73"/>
  <c r="F59" i="76"/>
  <c r="M5" i="73"/>
  <c r="H30" i="89"/>
  <c r="H23" i="86"/>
  <c r="L82" i="48"/>
  <c r="K68" i="82"/>
  <c r="L53" i="90"/>
  <c r="O19" i="66"/>
  <c r="CJ73" i="3"/>
  <c r="D50" i="40"/>
  <c r="H68" i="26"/>
  <c r="F38" i="70"/>
  <c r="M25" i="61"/>
  <c r="I50" i="87"/>
  <c r="H85" i="73"/>
  <c r="G65" i="67"/>
  <c r="O31" i="64"/>
  <c r="N100" i="68"/>
  <c r="O57" i="63"/>
  <c r="O74" i="89"/>
  <c r="J46" i="67"/>
  <c r="H101" i="63"/>
  <c r="G68" i="93"/>
  <c r="L39"/>
  <c r="J82" i="63"/>
  <c r="F7" i="70"/>
  <c r="K42" i="72"/>
  <c r="G40" i="84"/>
  <c r="M37" i="75"/>
  <c r="F34" i="81"/>
  <c r="K31" i="62"/>
  <c r="G98" i="45"/>
  <c r="H70" i="52"/>
  <c r="L76" i="19"/>
  <c r="E31" i="25"/>
  <c r="N65" i="72"/>
  <c r="D82" i="54"/>
  <c r="J91" i="35"/>
  <c r="N9" i="32"/>
  <c r="O89" i="51"/>
  <c r="M106" i="27"/>
  <c r="H24" i="93"/>
  <c r="H40" i="73"/>
  <c r="J52" i="54"/>
  <c r="O97" i="66"/>
  <c r="E51" i="50"/>
  <c r="J16" i="92"/>
  <c r="O29" i="33"/>
  <c r="E42" i="75"/>
  <c r="M58" i="76"/>
  <c r="F55" i="90"/>
  <c r="K103" i="89"/>
  <c r="M95" i="26"/>
  <c r="H83" i="65"/>
  <c r="N91" i="87"/>
  <c r="F30" i="51"/>
  <c r="K36" i="86"/>
  <c r="H67" i="75"/>
  <c r="E49" i="26"/>
  <c r="E25" i="83"/>
  <c r="M4" i="76"/>
  <c r="D30" i="90"/>
  <c r="J100" i="80"/>
  <c r="K65" i="61"/>
  <c r="D51" i="89"/>
  <c r="D38" i="74"/>
  <c r="O7" i="87"/>
  <c r="O30" i="40"/>
  <c r="D83" i="35"/>
  <c r="F51" i="89"/>
  <c r="D98" i="77"/>
  <c r="E67" i="40"/>
  <c r="E4" i="79"/>
  <c r="H9" i="77"/>
  <c r="F56" i="71"/>
  <c r="G13" i="53"/>
  <c r="N91" i="86"/>
  <c r="N39" i="62"/>
  <c r="H51" i="64"/>
  <c r="L4" i="73"/>
  <c r="K57" i="26"/>
  <c r="O55" i="46"/>
  <c r="M103" i="77"/>
  <c r="D57" i="94"/>
  <c r="J10" i="50"/>
  <c r="M45" i="71"/>
  <c r="M37" i="90"/>
  <c r="N48" i="69"/>
  <c r="K44" i="32"/>
  <c r="H28" i="49"/>
  <c r="N37" i="19"/>
  <c r="H33" i="43"/>
  <c r="F26" i="39"/>
  <c r="E53" i="53"/>
  <c r="G47" i="49"/>
  <c r="F30" i="61"/>
  <c r="I92" i="93"/>
  <c r="F34" i="45"/>
  <c r="E61" i="48"/>
  <c r="L77" i="25"/>
  <c r="G41" i="52"/>
  <c r="L70" i="78"/>
  <c r="K12" i="51"/>
  <c r="J32" i="57"/>
  <c r="I46" i="48"/>
  <c r="D106" i="80"/>
  <c r="N15" i="71"/>
  <c r="O65" i="67"/>
  <c r="G27" i="33"/>
  <c r="H36" i="80"/>
  <c r="E28" i="39"/>
  <c r="O39" i="69"/>
  <c r="O20" i="48"/>
  <c r="E43" i="84"/>
  <c r="N36" i="48"/>
  <c r="J43" i="33"/>
  <c r="D35" i="85"/>
  <c r="I33" i="40"/>
  <c r="H104" i="57"/>
  <c r="K80" i="94"/>
  <c r="I16" i="64"/>
  <c r="L38" i="80"/>
  <c r="H51" i="32"/>
  <c r="I55" i="40"/>
  <c r="D33" i="43"/>
  <c r="D6" i="72"/>
  <c r="K44" i="87"/>
  <c r="M21" i="59"/>
  <c r="CG34" i="3"/>
  <c r="F13" i="45"/>
  <c r="M42" i="39"/>
  <c r="G39" i="29"/>
  <c r="F8" i="47"/>
  <c r="O67" i="74"/>
  <c r="I57" i="87"/>
  <c r="E50" i="68"/>
  <c r="G68" i="76"/>
  <c r="O38" i="81"/>
  <c r="I54" i="63"/>
  <c r="M15" i="77"/>
  <c r="L12" i="43"/>
  <c r="M48" i="39"/>
  <c r="D12" i="91"/>
  <c r="H30" i="30"/>
  <c r="N48" i="33"/>
  <c r="I101" i="55"/>
  <c r="CK48" i="3"/>
  <c r="H51" i="91"/>
  <c r="L73" i="43"/>
  <c r="D33" i="79"/>
  <c r="M44" i="82"/>
  <c r="O28" i="72"/>
  <c r="D41" i="92"/>
  <c r="D89" i="43"/>
  <c r="O97" i="19"/>
  <c r="O6" i="49"/>
  <c r="I95" i="78"/>
  <c r="D40" i="35"/>
  <c r="L91" i="74"/>
  <c r="D51" i="92"/>
  <c r="E73" i="35"/>
  <c r="N31" i="68"/>
  <c r="I9" i="89"/>
  <c r="G64" i="33"/>
  <c r="M86" i="58"/>
  <c r="J49" i="30"/>
  <c r="G51" i="44"/>
  <c r="N23"/>
  <c r="H62" i="81"/>
  <c r="M50" i="94"/>
  <c r="N79" i="45"/>
  <c r="H106" i="30"/>
  <c r="O43" i="47"/>
  <c r="O58" i="51"/>
  <c r="I32" i="57"/>
  <c r="F20" i="52"/>
  <c r="D22" i="27"/>
  <c r="D12" i="52"/>
  <c r="H41" i="57"/>
  <c r="H21" i="44"/>
  <c r="J46" i="33"/>
  <c r="J39" i="67"/>
  <c r="H89" i="50"/>
  <c r="M82" i="49"/>
  <c r="I40" i="54"/>
  <c r="K92" i="58"/>
  <c r="E16" i="71"/>
  <c r="H20" i="30"/>
  <c r="L65" i="76"/>
  <c r="L49" i="71"/>
  <c r="H71" i="74"/>
  <c r="F104" i="75"/>
  <c r="D17" i="26"/>
  <c r="I50" i="71"/>
  <c r="N5" i="83"/>
  <c r="O55"/>
  <c r="G103" i="89"/>
  <c r="E7" i="86"/>
  <c r="G12" i="45"/>
  <c r="O48" i="26"/>
  <c r="G35" i="49"/>
  <c r="J24" i="47"/>
  <c r="N79" i="89"/>
  <c r="F32" i="83"/>
  <c r="M47" i="54"/>
  <c r="G54" i="43"/>
  <c r="F79" i="52"/>
  <c r="D74" i="94"/>
  <c r="M83" i="35"/>
  <c r="N49" i="34"/>
  <c r="L18" i="44"/>
  <c r="E77" i="79"/>
  <c r="G28" i="32"/>
  <c r="N61" i="26"/>
  <c r="H55" i="53"/>
  <c r="J48" i="43"/>
  <c r="E17" i="61"/>
  <c r="K10" i="33"/>
  <c r="J86" i="69"/>
  <c r="I83" i="90"/>
  <c r="L44"/>
  <c r="H35" i="51"/>
  <c r="F68" i="77"/>
  <c r="L57" i="34"/>
  <c r="M31" i="38"/>
  <c r="D61" i="93"/>
  <c r="G33" i="51"/>
  <c r="H52" i="44"/>
  <c r="N86" i="89"/>
  <c r="I86" i="42"/>
  <c r="O57" i="66"/>
  <c r="N50" i="76"/>
  <c r="F42" i="80"/>
  <c r="O20" i="57"/>
  <c r="H61" i="60"/>
  <c r="D24" i="69"/>
  <c r="O85" i="80"/>
  <c r="I41" i="55"/>
  <c r="K94" i="63"/>
  <c r="K56" i="34"/>
  <c r="I51" i="71"/>
  <c r="D14" i="90"/>
  <c r="E97" i="61"/>
  <c r="L38" i="32"/>
  <c r="F95" i="82"/>
  <c r="G92" i="27"/>
  <c r="H11" i="81"/>
  <c r="M59" i="91"/>
  <c r="L91" i="84"/>
  <c r="K40" i="19"/>
  <c r="J107" i="63"/>
  <c r="D91" i="72"/>
  <c r="D6" i="34"/>
  <c r="D107" i="59"/>
  <c r="N91" i="61"/>
  <c r="D24" i="54"/>
  <c r="K98" i="80"/>
  <c r="I5" i="82"/>
  <c r="N10" i="63"/>
  <c r="M37" i="41"/>
  <c r="D39" i="66"/>
  <c r="N45" i="56"/>
  <c r="M39" i="72"/>
  <c r="O35" i="57"/>
  <c r="O46" i="44"/>
  <c r="F6" i="59"/>
  <c r="M56" i="64"/>
  <c r="N56" i="54"/>
  <c r="E44" i="70"/>
  <c r="I58" i="76"/>
  <c r="O25" i="33"/>
  <c r="N47" i="74"/>
  <c r="J53" i="50"/>
  <c r="N22" i="80"/>
  <c r="G100" i="71"/>
  <c r="D51" i="55"/>
  <c r="H36" i="79"/>
  <c r="K8" i="65"/>
  <c r="F10" i="68"/>
  <c r="E79" i="83"/>
  <c r="L94" i="19"/>
  <c r="E79" i="75"/>
  <c r="J13" i="81"/>
  <c r="E46" i="51"/>
  <c r="E45" i="70"/>
  <c r="F71" i="49"/>
  <c r="H98" i="38"/>
  <c r="N58" i="71"/>
  <c r="O25" i="69"/>
  <c r="K18" i="56"/>
  <c r="O30" i="73"/>
  <c r="H57" i="89"/>
  <c r="L16" i="55"/>
  <c r="H101" i="32"/>
  <c r="D95" i="46"/>
  <c r="J85" i="32"/>
  <c r="O86" i="76"/>
  <c r="J16" i="60"/>
  <c r="F22" i="58"/>
  <c r="O67" i="33"/>
  <c r="L22" i="39"/>
  <c r="E26" i="89"/>
  <c r="D36" i="52"/>
  <c r="J77" i="84"/>
  <c r="D58" i="30"/>
  <c r="D25"/>
  <c r="G42" i="75"/>
  <c r="O6" i="51"/>
  <c r="E88" i="46"/>
  <c r="M79" i="27"/>
  <c r="M59" i="65"/>
  <c r="D53" i="92"/>
  <c r="H39" i="57"/>
  <c r="D49" i="73"/>
  <c r="I25" i="66"/>
  <c r="K30" i="76"/>
  <c r="M107" i="65"/>
  <c r="L16" i="39"/>
  <c r="L82" i="40"/>
  <c r="L16" i="91"/>
  <c r="F40" i="32"/>
  <c r="O48" i="67"/>
  <c r="I107" i="71"/>
  <c r="I88" i="19"/>
  <c r="M94" i="58"/>
  <c r="I68" i="91"/>
  <c r="D100" i="30"/>
  <c r="D61" i="74"/>
  <c r="N13" i="81"/>
  <c r="I51" i="67"/>
  <c r="E106" i="68"/>
  <c r="F40" i="59"/>
  <c r="H76" i="29"/>
  <c r="L29" i="76"/>
  <c r="I13" i="50"/>
  <c r="K11" i="39"/>
  <c r="I26" i="83"/>
  <c r="J85" i="69"/>
  <c r="N51" i="67"/>
  <c r="F98"/>
  <c r="L106" i="65"/>
  <c r="K59" i="34"/>
  <c r="I14" i="89"/>
  <c r="M30" i="87"/>
  <c r="K48" i="48"/>
  <c r="M9" i="67"/>
  <c r="F107" i="86"/>
  <c r="D76" i="83"/>
  <c r="I49" i="91"/>
  <c r="J27" i="38"/>
  <c r="I37" i="50"/>
  <c r="D54" i="48"/>
  <c r="F62" i="54"/>
  <c r="F104" i="71"/>
  <c r="J45" i="83"/>
  <c r="G37" i="27"/>
  <c r="K76" i="57"/>
  <c r="H10" i="55"/>
  <c r="H89" i="48"/>
  <c r="N37" i="80"/>
  <c r="K40" i="55"/>
  <c r="L26" i="57"/>
  <c r="N100" i="40"/>
  <c r="I97" i="29"/>
  <c r="I80" i="55"/>
  <c r="M97" i="61"/>
  <c r="E19" i="60"/>
  <c r="N38" i="39"/>
  <c r="D77" i="51"/>
  <c r="L57" i="71"/>
  <c r="M25" i="49"/>
  <c r="D26" i="80"/>
  <c r="L98" i="32"/>
  <c r="M11" i="86"/>
  <c r="H64" i="78"/>
  <c r="G43" i="38"/>
  <c r="K44" i="34"/>
  <c r="H95" i="75"/>
  <c r="E25" i="44"/>
  <c r="E62" i="48"/>
  <c r="K21" i="75"/>
  <c r="L61" i="69"/>
  <c r="O29" i="89"/>
  <c r="I33" i="49"/>
  <c r="L67" i="78"/>
  <c r="G25" i="92"/>
  <c r="M50" i="55"/>
  <c r="H104" i="85"/>
  <c r="D58" i="60"/>
  <c r="K101" i="57"/>
  <c r="M94" i="41"/>
  <c r="N4" i="55"/>
  <c r="K53" i="61"/>
  <c r="L82" i="66"/>
  <c r="I36" i="84"/>
  <c r="O83" i="71"/>
  <c r="D24" i="92"/>
  <c r="O30" i="81"/>
  <c r="G57" i="34"/>
  <c r="F61" i="91"/>
  <c r="O71" i="41"/>
  <c r="O79" i="89"/>
  <c r="I20" i="38"/>
  <c r="H86" i="83"/>
  <c r="D23" i="77"/>
  <c r="I21" i="91"/>
  <c r="I35" i="76"/>
  <c r="I38" i="52"/>
  <c r="I64" i="70"/>
  <c r="I18" i="55"/>
  <c r="G47" i="27"/>
  <c r="H59" i="25"/>
  <c r="D100" i="52"/>
  <c r="G50" i="43"/>
  <c r="D22" i="25"/>
  <c r="J29"/>
  <c r="G26" i="83"/>
  <c r="M48" i="58"/>
  <c r="G11" i="25"/>
  <c r="G83" i="43"/>
  <c r="G29" i="53"/>
  <c r="I20" i="66"/>
  <c r="J97" i="62"/>
  <c r="N85" i="25"/>
  <c r="H74" i="36"/>
  <c r="M40" i="43"/>
  <c r="N79" i="69"/>
  <c r="E27" i="46"/>
  <c r="H80" i="57"/>
  <c r="E107" i="46"/>
  <c r="N51" i="65"/>
  <c r="I74" i="38"/>
  <c r="J38" i="73"/>
  <c r="G38" i="19"/>
  <c r="D101" i="79"/>
  <c r="N46" i="93"/>
  <c r="G24" i="86"/>
  <c r="E46"/>
  <c r="O53" i="46"/>
  <c r="L101" i="92"/>
  <c r="L23" i="59"/>
  <c r="M62" i="58"/>
  <c r="K48" i="41"/>
  <c r="K39" i="34"/>
  <c r="E28" i="43"/>
  <c r="G39" i="68"/>
  <c r="M68" i="63"/>
  <c r="F100" i="43"/>
  <c r="F67" i="25"/>
  <c r="G88" i="93"/>
  <c r="H94" i="89"/>
  <c r="F46" i="91"/>
  <c r="K70" i="66"/>
  <c r="H94" i="19"/>
  <c r="E79" i="67"/>
  <c r="M82" i="91"/>
  <c r="I34" i="67"/>
  <c r="M92" i="66"/>
  <c r="D37" i="90"/>
  <c r="I7" i="50"/>
  <c r="G64" i="69"/>
  <c r="G74" i="27"/>
  <c r="E86" i="47"/>
  <c r="G86" i="76"/>
  <c r="F9" i="69"/>
  <c r="N91" i="77"/>
  <c r="O52" i="58"/>
  <c r="J36" i="36"/>
  <c r="G14" i="41"/>
  <c r="I44"/>
  <c r="H50" i="35"/>
  <c r="F21" i="83"/>
  <c r="M20" i="94"/>
  <c r="L41" i="44"/>
  <c r="F97" i="70"/>
  <c r="F103" i="52"/>
  <c r="L59" i="47"/>
  <c r="L28" i="34"/>
  <c r="H73" i="42"/>
  <c r="G10" i="94"/>
  <c r="N53" i="75"/>
  <c r="G15" i="51"/>
  <c r="F74" i="29"/>
  <c r="M56" i="27"/>
  <c r="O67" i="36"/>
  <c r="J59" i="46"/>
  <c r="D31" i="79"/>
  <c r="K41" i="32"/>
  <c r="I28" i="57"/>
  <c r="I95" i="85"/>
  <c r="E16" i="92"/>
  <c r="H34" i="86"/>
  <c r="M88" i="64"/>
  <c r="H68" i="77"/>
  <c r="M15" i="43"/>
  <c r="J74" i="49"/>
  <c r="F58" i="76"/>
  <c r="D64" i="46"/>
  <c r="L32" i="60"/>
  <c r="D11" i="54"/>
  <c r="F39" i="43"/>
  <c r="J8" i="30"/>
  <c r="G59" i="67"/>
  <c r="F97" i="79"/>
  <c r="J40" i="73"/>
  <c r="K28" i="55"/>
  <c r="E54" i="50"/>
  <c r="F24" i="70"/>
  <c r="K14" i="89"/>
  <c r="E62" i="61"/>
  <c r="H107" i="70"/>
  <c r="G36" i="53"/>
  <c r="E23" i="48"/>
  <c r="E86" i="38"/>
  <c r="G43" i="64"/>
  <c r="G24" i="55"/>
  <c r="I6" i="70"/>
  <c r="L52" i="87"/>
  <c r="D101" i="49"/>
  <c r="O22" i="59"/>
  <c r="F80" i="50"/>
  <c r="I54" i="57"/>
  <c r="E53" i="51"/>
  <c r="L25" i="74"/>
  <c r="J51" i="27"/>
  <c r="I52"/>
  <c r="K64" i="72"/>
  <c r="G4" i="19"/>
  <c r="N38" i="83"/>
  <c r="F22" i="73"/>
  <c r="L58" i="26"/>
  <c r="F68" i="93"/>
  <c r="J52" i="60"/>
  <c r="L58" i="78"/>
  <c r="E62" i="30"/>
  <c r="D98" i="60"/>
  <c r="F8" i="70"/>
  <c r="J70"/>
  <c r="F15" i="75"/>
  <c r="D31" i="87"/>
  <c r="I5" i="44"/>
  <c r="E91" i="40"/>
  <c r="K73" i="66"/>
  <c r="O42" i="53"/>
  <c r="F21" i="67"/>
  <c r="F106" i="85"/>
  <c r="G50" i="89"/>
  <c r="K35" i="47"/>
  <c r="D89" i="50"/>
  <c r="K48" i="73"/>
  <c r="G82" i="30"/>
  <c r="M13" i="55"/>
  <c r="D98" i="66"/>
  <c r="D82" i="57"/>
  <c r="E37" i="38"/>
  <c r="M47" i="60"/>
  <c r="N50" i="58"/>
  <c r="O12" i="90"/>
  <c r="G40" i="89"/>
  <c r="I97" i="76"/>
  <c r="L19" i="36"/>
  <c r="J107" i="38"/>
  <c r="E57" i="54"/>
  <c r="M47" i="90"/>
  <c r="I106" i="93"/>
  <c r="K9" i="74"/>
  <c r="O77" i="84"/>
  <c r="O100" i="44"/>
  <c r="F41" i="51"/>
  <c r="K56" i="73"/>
  <c r="G97" i="93"/>
  <c r="G29" i="50"/>
  <c r="I44" i="86"/>
  <c r="E67" i="45"/>
  <c r="D28" i="72"/>
  <c r="E12" i="44"/>
  <c r="M98" i="59"/>
  <c r="I42" i="34"/>
  <c r="K13" i="66"/>
  <c r="O79" i="78"/>
  <c r="I20" i="76"/>
  <c r="O18" i="36"/>
  <c r="E5" i="64"/>
  <c r="O24" i="54"/>
  <c r="O46" i="25"/>
  <c r="N7" i="75"/>
  <c r="E64" i="32"/>
  <c r="K73" i="92"/>
  <c r="O98" i="43"/>
  <c r="K58" i="34"/>
  <c r="N49" i="92"/>
  <c r="D65" i="68"/>
  <c r="H38" i="80"/>
  <c r="O73" i="53"/>
  <c r="K83" i="40"/>
  <c r="M39" i="59"/>
  <c r="G55" i="67"/>
  <c r="M7" i="38"/>
  <c r="D29" i="86"/>
  <c r="G39" i="27"/>
  <c r="D28" i="49"/>
  <c r="F54" i="30"/>
  <c r="E24" i="32"/>
  <c r="F45" i="43"/>
  <c r="D55" i="81"/>
  <c r="M43" i="39"/>
  <c r="N28" i="46"/>
  <c r="J103" i="92"/>
  <c r="H70" i="66"/>
  <c r="F47" i="77"/>
  <c r="K10" i="69"/>
  <c r="G73" i="79"/>
  <c r="L20" i="92"/>
  <c r="J43" i="62"/>
  <c r="G70" i="85"/>
  <c r="D39" i="52"/>
  <c r="G49" i="91"/>
  <c r="E100" i="73"/>
  <c r="K41"/>
  <c r="F54" i="56"/>
  <c r="J26" i="86"/>
  <c r="D106" i="35"/>
  <c r="H73" i="77"/>
  <c r="L38" i="93"/>
  <c r="E71" i="38"/>
  <c r="I8" i="56"/>
  <c r="J4" i="81"/>
  <c r="O15" i="59"/>
  <c r="O5" i="92"/>
  <c r="D89" i="65"/>
  <c r="I32" i="29"/>
  <c r="M107" i="43"/>
  <c r="J73" i="74"/>
  <c r="K73" i="81"/>
  <c r="I6" i="32"/>
  <c r="M82" i="86"/>
  <c r="O6" i="43"/>
  <c r="G94" i="41"/>
  <c r="H20" i="70"/>
  <c r="E18" i="91"/>
  <c r="D62" i="40"/>
  <c r="J54" i="26"/>
  <c r="G68" i="35"/>
  <c r="D107" i="57"/>
  <c r="E89" i="91"/>
  <c r="F50" i="39"/>
  <c r="M56" i="54"/>
  <c r="D9" i="33"/>
  <c r="K95" i="66"/>
  <c r="H95" i="80"/>
  <c r="J18" i="79"/>
  <c r="G52" i="74"/>
  <c r="H37" i="34"/>
  <c r="D52" i="33"/>
  <c r="N4" i="69"/>
  <c r="K4" i="39"/>
  <c r="G16" i="56"/>
  <c r="D92" i="51"/>
  <c r="K29" i="73"/>
  <c r="K107" i="46"/>
  <c r="E76" i="89"/>
  <c r="E55" i="61"/>
  <c r="H74" i="75"/>
  <c r="E107" i="78"/>
  <c r="N26"/>
  <c r="J106" i="53"/>
  <c r="O42" i="27"/>
  <c r="J43" i="65"/>
  <c r="H82" i="35"/>
  <c r="H5" i="50"/>
  <c r="I68" i="74"/>
  <c r="D79" i="53"/>
  <c r="I64" i="62"/>
  <c r="G65" i="47"/>
  <c r="O36" i="32"/>
  <c r="N21" i="38"/>
  <c r="I95" i="32"/>
  <c r="J55" i="76"/>
  <c r="F58" i="57"/>
  <c r="L70" i="55"/>
  <c r="J94" i="89"/>
  <c r="I34" i="70"/>
  <c r="D30" i="43"/>
  <c r="E103" i="64"/>
  <c r="D32" i="76"/>
  <c r="F97" i="89"/>
  <c r="E64" i="76"/>
  <c r="D104" i="26"/>
  <c r="E26" i="48"/>
  <c r="L62" i="62"/>
  <c r="I67" i="33"/>
  <c r="F23" i="27"/>
  <c r="L19" i="49"/>
  <c r="D97" i="29"/>
  <c r="K67" i="63"/>
  <c r="D23" i="48"/>
  <c r="K26" i="59"/>
  <c r="L23" i="80"/>
  <c r="N5"/>
  <c r="O18" i="78"/>
  <c r="G67" i="77"/>
  <c r="E43" i="40"/>
  <c r="J8" i="82"/>
  <c r="O31" i="56"/>
  <c r="F68" i="34"/>
  <c r="M104" i="46"/>
  <c r="L10" i="69"/>
  <c r="J94" i="32"/>
  <c r="I46" i="92"/>
  <c r="K54" i="83"/>
  <c r="E4" i="74"/>
  <c r="N104" i="48"/>
  <c r="J44" i="39"/>
  <c r="L80" i="33"/>
  <c r="J53" i="89"/>
  <c r="F47" i="68"/>
  <c r="K64" i="78"/>
  <c r="J4" i="77"/>
  <c r="G107"/>
  <c r="K48" i="64"/>
  <c r="N4" i="46"/>
  <c r="G10" i="32"/>
  <c r="J48" i="40"/>
  <c r="K15" i="78"/>
  <c r="H89" i="68"/>
  <c r="E11" i="34"/>
  <c r="N21" i="44"/>
  <c r="E68" i="77"/>
  <c r="G76" i="61"/>
  <c r="G45" i="63"/>
  <c r="N26" i="89"/>
  <c r="G22" i="78"/>
  <c r="F106" i="35"/>
  <c r="K13" i="38"/>
  <c r="K94" i="43"/>
  <c r="K28" i="35"/>
  <c r="I44" i="52"/>
  <c r="G4" i="69"/>
  <c r="O25" i="49"/>
  <c r="O37" i="83"/>
  <c r="E98" i="25"/>
  <c r="N40" i="56"/>
  <c r="K9" i="30"/>
  <c r="F68" i="87"/>
  <c r="I83" i="43"/>
  <c r="M48" i="66"/>
  <c r="E14" i="60"/>
  <c r="I59" i="71"/>
  <c r="D51" i="69"/>
  <c r="D32" i="40"/>
  <c r="F56" i="80"/>
  <c r="O103" i="72"/>
  <c r="D37" i="49"/>
  <c r="H47" i="44"/>
  <c r="M6" i="66"/>
  <c r="M18" i="30"/>
  <c r="K50" i="90"/>
  <c r="L54" i="47"/>
  <c r="G35" i="40"/>
  <c r="K80" i="82"/>
  <c r="I92" i="77"/>
  <c r="E59" i="27"/>
  <c r="I94" i="73"/>
  <c r="J83" i="54"/>
  <c r="O40" i="57"/>
  <c r="L92" i="64"/>
  <c r="E79" i="49"/>
  <c r="H85" i="71"/>
  <c r="L13" i="49"/>
  <c r="I74" i="36"/>
  <c r="K17" i="65"/>
  <c r="F79" i="57"/>
  <c r="J23" i="49"/>
  <c r="J92" i="59"/>
  <c r="E43" i="81"/>
  <c r="N21" i="59"/>
  <c r="J32" i="45"/>
  <c r="H43" i="60"/>
  <c r="H13" i="50"/>
  <c r="H38" i="52"/>
  <c r="M5" i="74"/>
  <c r="O94" i="49"/>
  <c r="G49" i="58"/>
  <c r="K4" i="77"/>
  <c r="M39" i="55"/>
  <c r="J37" i="68"/>
  <c r="J94" i="93"/>
  <c r="G14" i="50"/>
  <c r="O54" i="60"/>
  <c r="G73" i="78"/>
  <c r="D4" i="65"/>
  <c r="D17" i="27"/>
  <c r="D54" i="69"/>
  <c r="M85" i="58"/>
  <c r="M11" i="70"/>
  <c r="I61" i="72"/>
  <c r="L28" i="49"/>
  <c r="O38" i="38"/>
  <c r="H85" i="93"/>
  <c r="E86" i="34"/>
  <c r="J101" i="26"/>
  <c r="F53" i="47"/>
  <c r="G64"/>
  <c r="E6" i="94"/>
  <c r="L67" i="26"/>
  <c r="F44" i="34"/>
  <c r="F73" i="38"/>
  <c r="M10" i="76"/>
  <c r="I15" i="66"/>
  <c r="L86" i="78"/>
  <c r="G21" i="36"/>
  <c r="F73" i="27"/>
  <c r="D22" i="79"/>
  <c r="E56" i="91"/>
  <c r="O28" i="47"/>
  <c r="M49" i="53"/>
  <c r="L59" i="77"/>
  <c r="O101" i="71"/>
  <c r="H68" i="36"/>
  <c r="J7" i="73"/>
  <c r="N73" i="27"/>
  <c r="H95" i="79"/>
  <c r="K58" i="69"/>
  <c r="L50" i="48"/>
  <c r="E4" i="78"/>
  <c r="J26" i="29"/>
  <c r="M64" i="76"/>
  <c r="M20" i="44"/>
  <c r="I91" i="60"/>
  <c r="E22" i="50"/>
  <c r="G85" i="27"/>
  <c r="E89" i="87"/>
  <c r="E50" i="73"/>
  <c r="K82" i="30"/>
  <c r="N51" i="60"/>
  <c r="M100" i="48"/>
  <c r="K35" i="55"/>
  <c r="J83" i="19"/>
  <c r="K13" i="56"/>
  <c r="M61" i="70"/>
  <c r="F53" i="25"/>
  <c r="J61" i="41"/>
  <c r="L4" i="75"/>
  <c r="F57" i="64"/>
  <c r="G34" i="49"/>
  <c r="L8" i="58"/>
  <c r="E98" i="71"/>
  <c r="I35" i="45"/>
  <c r="I107" i="85"/>
  <c r="E67" i="32"/>
  <c r="F73" i="68"/>
  <c r="H74" i="79"/>
  <c r="H17" i="35"/>
  <c r="D56" i="73"/>
  <c r="K49" i="54"/>
  <c r="I17" i="87"/>
  <c r="E8" i="90"/>
  <c r="K40" i="74"/>
  <c r="J28" i="53"/>
  <c r="G18" i="70"/>
  <c r="H29" i="39"/>
  <c r="K92" i="83"/>
  <c r="K107" i="93"/>
  <c r="E20" i="25"/>
  <c r="I34" i="41"/>
  <c r="E10" i="34"/>
  <c r="J56" i="77"/>
  <c r="E17" i="19"/>
  <c r="J29" i="40"/>
  <c r="G59" i="35"/>
  <c r="E98" i="77"/>
  <c r="H18" i="84"/>
  <c r="O43" i="70"/>
  <c r="I92" i="60"/>
  <c r="H95" i="68"/>
  <c r="H12" i="60"/>
  <c r="F31" i="62"/>
  <c r="N31" i="66"/>
  <c r="M16" i="29"/>
  <c r="F83" i="62"/>
  <c r="E50" i="36"/>
  <c r="J37" i="53"/>
  <c r="D98" i="40"/>
  <c r="F43" i="56"/>
  <c r="M5" i="35"/>
  <c r="E24" i="77"/>
  <c r="L22" i="81"/>
  <c r="I6" i="41"/>
  <c r="M21" i="64"/>
  <c r="L56" i="25"/>
  <c r="M53" i="90"/>
  <c r="G5" i="56"/>
  <c r="H73" i="30"/>
  <c r="O29" i="25"/>
  <c r="J5" i="64"/>
  <c r="J45" i="91"/>
  <c r="H7" i="93"/>
  <c r="F104" i="89"/>
  <c r="G52" i="27"/>
  <c r="L82" i="39"/>
  <c r="O21" i="84"/>
  <c r="H39" i="77"/>
  <c r="J42" i="81"/>
  <c r="L76" i="45"/>
  <c r="D35" i="70"/>
  <c r="D52" i="56"/>
  <c r="D94" i="92"/>
  <c r="K43" i="72"/>
  <c r="F74" i="25"/>
  <c r="N42" i="87"/>
  <c r="G45" i="85"/>
  <c r="M30" i="51"/>
  <c r="F36" i="32"/>
  <c r="L107" i="83"/>
  <c r="H106" i="53"/>
  <c r="J76" i="67"/>
  <c r="E76" i="56"/>
  <c r="E74" i="89"/>
  <c r="O34" i="75"/>
  <c r="D56" i="82"/>
  <c r="G68" i="49"/>
  <c r="F11" i="80"/>
  <c r="I82" i="87"/>
  <c r="F12" i="66"/>
  <c r="H101" i="70"/>
  <c r="F28" i="44"/>
  <c r="F83" i="67"/>
  <c r="F30" i="90"/>
  <c r="M10" i="54"/>
  <c r="O54" i="35"/>
  <c r="J41" i="63"/>
  <c r="K82" i="49"/>
  <c r="D80" i="75"/>
  <c r="L53" i="40"/>
  <c r="E88" i="43"/>
  <c r="G74" i="76"/>
  <c r="J43" i="74"/>
  <c r="G86" i="36"/>
  <c r="F30" i="63"/>
  <c r="O85" i="25"/>
  <c r="E19" i="40"/>
  <c r="G23" i="39"/>
  <c r="K53" i="46"/>
  <c r="I47" i="32"/>
  <c r="F95" i="86"/>
  <c r="D17" i="48"/>
  <c r="J65" i="41"/>
  <c r="J28" i="49"/>
  <c r="O80" i="76"/>
  <c r="D62" i="85"/>
  <c r="D94" i="90"/>
  <c r="G28" i="92"/>
  <c r="N97" i="71"/>
  <c r="G41" i="93"/>
  <c r="L94" i="33"/>
  <c r="D79" i="32"/>
  <c r="L70" i="40"/>
  <c r="M86" i="60"/>
  <c r="H30" i="64"/>
  <c r="E17" i="50"/>
  <c r="O76" i="84"/>
  <c r="F86" i="63"/>
  <c r="J29" i="26"/>
  <c r="J4" i="58"/>
  <c r="L18" i="73"/>
  <c r="H71" i="39"/>
  <c r="F106" i="45"/>
  <c r="H42" i="54"/>
  <c r="K32" i="69"/>
  <c r="E21" i="32"/>
  <c r="E39" i="71"/>
  <c r="D24"/>
  <c r="E12" i="68"/>
  <c r="K68" i="91"/>
  <c r="O48" i="93"/>
  <c r="O40" i="55"/>
  <c r="N8" i="71"/>
  <c r="L38" i="45"/>
  <c r="D6" i="27"/>
  <c r="J20" i="73"/>
  <c r="K23" i="77"/>
  <c r="H22" i="76"/>
  <c r="L32" i="77"/>
  <c r="E5" i="41"/>
  <c r="I71" i="82"/>
  <c r="I12" i="32"/>
  <c r="M58" i="66"/>
  <c r="H15" i="34"/>
  <c r="M34" i="89"/>
  <c r="N5" i="47"/>
  <c r="CG49" i="3"/>
  <c r="O56" i="77"/>
  <c r="N13" i="32"/>
  <c r="J68" i="33"/>
  <c r="H97" i="41"/>
  <c r="O100" i="91"/>
  <c r="J80" i="79"/>
  <c r="M17" i="40"/>
  <c r="H25" i="69"/>
  <c r="K73" i="40"/>
  <c r="N22" i="49"/>
  <c r="H89" i="57"/>
  <c r="D94"/>
  <c r="M20" i="45"/>
  <c r="L92" i="72"/>
  <c r="H17" i="34"/>
  <c r="K107" i="35"/>
  <c r="O70" i="84"/>
  <c r="F6" i="74"/>
  <c r="H47" i="79"/>
  <c r="N18" i="69"/>
  <c r="F16" i="34"/>
  <c r="K33" i="87"/>
  <c r="F10" i="49"/>
  <c r="H8" i="26"/>
  <c r="G11" i="57"/>
  <c r="L82" i="41"/>
  <c r="O38" i="40"/>
  <c r="H50" i="48"/>
  <c r="E64" i="55"/>
  <c r="O49" i="82"/>
  <c r="M40" i="60"/>
  <c r="E50" i="94"/>
  <c r="L24" i="41"/>
  <c r="I33" i="64"/>
  <c r="L35" i="82"/>
  <c r="O61" i="93"/>
  <c r="K103" i="87"/>
  <c r="H56" i="64"/>
  <c r="L37" i="61"/>
  <c r="J55" i="92"/>
  <c r="I25" i="89"/>
  <c r="H103" i="47"/>
  <c r="L97" i="56"/>
  <c r="G79" i="54"/>
  <c r="G38" i="71"/>
  <c r="H5" i="62"/>
  <c r="N103" i="45"/>
  <c r="M89" i="87"/>
  <c r="M82" i="70"/>
  <c r="H37" i="90"/>
  <c r="E20" i="77"/>
  <c r="L30" i="30"/>
  <c r="I32" i="44"/>
  <c r="K32" i="51"/>
  <c r="D71" i="87"/>
  <c r="D65" i="44"/>
  <c r="D74" i="40"/>
  <c r="J50" i="50"/>
  <c r="L11" i="48"/>
  <c r="L100"/>
  <c r="E39" i="52"/>
  <c r="I5" i="47"/>
  <c r="H103" i="75"/>
  <c r="G33" i="86"/>
  <c r="L97" i="26"/>
  <c r="I10" i="89"/>
  <c r="E14" i="84"/>
  <c r="L7" i="38"/>
  <c r="K85" i="61"/>
  <c r="N98" i="38"/>
  <c r="I77" i="56"/>
  <c r="H74" i="35"/>
  <c r="F98" i="62"/>
  <c r="F34" i="66"/>
  <c r="J19" i="40"/>
  <c r="M6" i="49"/>
  <c r="G40" i="61"/>
  <c r="N98" i="62"/>
  <c r="F44" i="81"/>
  <c r="F28" i="93"/>
  <c r="M7" i="44"/>
  <c r="M26" i="64"/>
  <c r="E65" i="89"/>
  <c r="K70" i="82"/>
  <c r="H42" i="91"/>
  <c r="I16" i="86"/>
  <c r="L36" i="82"/>
  <c r="G6" i="62"/>
  <c r="F83" i="50"/>
  <c r="J101" i="45"/>
  <c r="H5" i="66"/>
  <c r="K25" i="75"/>
  <c r="L74" i="57"/>
  <c r="O49" i="35"/>
  <c r="H55" i="26"/>
  <c r="J46" i="68"/>
  <c r="F52" i="63"/>
  <c r="F85" i="55"/>
  <c r="L76" i="67"/>
  <c r="F41" i="78"/>
  <c r="D33" i="48"/>
  <c r="L17" i="93"/>
  <c r="L57" i="92"/>
  <c r="J59" i="68"/>
  <c r="M86" i="56"/>
  <c r="I65" i="40"/>
  <c r="N17" i="51"/>
  <c r="K106" i="29"/>
  <c r="J20" i="90"/>
  <c r="M8" i="44"/>
  <c r="L39" i="72"/>
  <c r="F94" i="65"/>
  <c r="N68" i="38"/>
  <c r="F77" i="75"/>
  <c r="G47" i="32"/>
  <c r="J43" i="78"/>
  <c r="D6" i="87"/>
  <c r="N43" i="91"/>
  <c r="K48" i="35"/>
  <c r="I18" i="68"/>
  <c r="M50" i="53"/>
  <c r="F65" i="33"/>
  <c r="O6"/>
  <c r="K95" i="80"/>
  <c r="F16" i="73"/>
  <c r="D26" i="69"/>
  <c r="L42" i="91"/>
  <c r="F51" i="84"/>
  <c r="N38" i="73"/>
  <c r="D100" i="41"/>
  <c r="G58" i="78"/>
  <c r="H106" i="92"/>
  <c r="G83" i="52"/>
  <c r="D32" i="26"/>
  <c r="K57" i="59"/>
  <c r="E7" i="62"/>
  <c r="D79" i="89"/>
  <c r="D45" i="68"/>
  <c r="O19" i="30"/>
  <c r="K50" i="93"/>
  <c r="G64" i="51"/>
  <c r="M61" i="27"/>
  <c r="N22" i="91"/>
  <c r="M25" i="84"/>
  <c r="I43" i="68"/>
  <c r="N94" i="67"/>
  <c r="G11" i="92"/>
  <c r="M79" i="32"/>
  <c r="M39" i="84"/>
  <c r="D71" i="32"/>
  <c r="O43" i="57"/>
  <c r="M31" i="49"/>
  <c r="D11" i="87"/>
  <c r="H65" i="79"/>
  <c r="J23" i="55"/>
  <c r="O48" i="30"/>
  <c r="E45" i="63"/>
  <c r="K14" i="44"/>
  <c r="L35" i="35"/>
  <c r="H103" i="26"/>
  <c r="O51" i="30"/>
  <c r="N8" i="60"/>
  <c r="G4" i="46"/>
  <c r="F30" i="50"/>
  <c r="N21" i="40"/>
  <c r="CJ58" i="3"/>
  <c r="F34" i="79"/>
  <c r="N95" i="54"/>
  <c r="E22" i="79"/>
  <c r="I79" i="30"/>
  <c r="K9" i="29"/>
  <c r="L49" i="45"/>
  <c r="N44" i="78"/>
  <c r="F83" i="60"/>
  <c r="D73" i="43"/>
  <c r="H10" i="91"/>
  <c r="K67" i="25"/>
  <c r="D80" i="60"/>
  <c r="M9" i="57"/>
  <c r="N104" i="56"/>
  <c r="O46" i="70"/>
  <c r="D51" i="32"/>
  <c r="O41" i="86"/>
  <c r="L32" i="35"/>
  <c r="H33" i="67"/>
  <c r="L48" i="46"/>
  <c r="K91" i="60"/>
  <c r="D71" i="89"/>
  <c r="D58" i="72"/>
  <c r="D6" i="35"/>
  <c r="D22" i="26"/>
  <c r="H106" i="89"/>
  <c r="K59" i="33"/>
  <c r="F9" i="49"/>
  <c r="J64" i="64"/>
  <c r="G77" i="71"/>
  <c r="N92" i="70"/>
  <c r="N74" i="65"/>
  <c r="K106" i="89"/>
  <c r="L9" i="61"/>
  <c r="E16" i="64"/>
  <c r="D103" i="75"/>
  <c r="I103" i="39"/>
  <c r="G18" i="58"/>
  <c r="N21" i="61"/>
  <c r="J22" i="45"/>
  <c r="L30" i="82"/>
  <c r="F8" i="32"/>
  <c r="N89" i="93"/>
  <c r="F23" i="75"/>
  <c r="D52" i="79"/>
  <c r="G100" i="77"/>
  <c r="H61" i="65"/>
  <c r="N47" i="29"/>
  <c r="N86" i="44"/>
  <c r="H44" i="64"/>
  <c r="J65" i="29"/>
  <c r="E45" i="68"/>
  <c r="N59" i="58"/>
  <c r="I76" i="80"/>
  <c r="O89" i="40"/>
  <c r="J100" i="26"/>
  <c r="D40" i="71"/>
  <c r="L44" i="86"/>
  <c r="M8" i="46"/>
  <c r="O74" i="48"/>
  <c r="H51" i="49"/>
  <c r="H27" i="70"/>
  <c r="L24" i="86"/>
  <c r="G98" i="87"/>
  <c r="E98" i="39"/>
  <c r="D40" i="54"/>
  <c r="I62" i="27"/>
  <c r="K40" i="58"/>
  <c r="N68" i="62"/>
  <c r="H97" i="48"/>
  <c r="I17" i="85"/>
  <c r="F59" i="70"/>
  <c r="G17" i="55"/>
  <c r="I64" i="90"/>
  <c r="L64" i="19"/>
  <c r="D54" i="52"/>
  <c r="J76" i="72"/>
  <c r="L83" i="49"/>
  <c r="J73" i="48"/>
  <c r="M10" i="29"/>
  <c r="D91" i="41"/>
  <c r="M19" i="75"/>
  <c r="G33" i="91"/>
  <c r="N62" i="61"/>
  <c r="F103" i="62"/>
  <c r="N98" i="68"/>
  <c r="E101" i="26"/>
  <c r="H76" i="66"/>
  <c r="D43" i="91"/>
  <c r="E13" i="54"/>
  <c r="J68" i="25"/>
  <c r="O14" i="96"/>
  <c r="D42" i="56"/>
  <c r="M106" i="40"/>
  <c r="I104"/>
  <c r="N15" i="56"/>
  <c r="H74" i="26"/>
  <c r="M32" i="72"/>
  <c r="M80" i="34"/>
  <c r="M28" i="33"/>
  <c r="G107" i="40"/>
  <c r="M70" i="29"/>
  <c r="E29" i="36"/>
  <c r="I85" i="48"/>
  <c r="F27" i="74"/>
  <c r="E35" i="51"/>
  <c r="I100" i="87"/>
  <c r="K6" i="45"/>
  <c r="D16" i="30"/>
  <c r="J67" i="87"/>
  <c r="L88" i="92"/>
  <c r="I65" i="71"/>
  <c r="G20" i="84"/>
  <c r="J19" i="87"/>
  <c r="I47" i="53"/>
  <c r="D28" i="39"/>
  <c r="M14" i="51"/>
  <c r="F25" i="94"/>
  <c r="F52" i="32"/>
  <c r="L24" i="91"/>
  <c r="F88" i="27"/>
  <c r="N25" i="93"/>
  <c r="I67" i="58"/>
  <c r="M95" i="25"/>
  <c r="D10" i="92"/>
  <c r="K30" i="62"/>
  <c r="K30" i="29"/>
  <c r="H8" i="42"/>
  <c r="H7" i="89"/>
  <c r="F61" i="34"/>
  <c r="L100" i="65"/>
  <c r="N52" i="51"/>
  <c r="G92" i="49"/>
  <c r="M67" i="54"/>
  <c r="E83" i="60"/>
  <c r="M64" i="53"/>
  <c r="E44" i="72"/>
  <c r="F67" i="87"/>
  <c r="N104" i="35"/>
  <c r="N5" i="68"/>
  <c r="H16" i="65"/>
  <c r="F14" i="67"/>
  <c r="D33" i="56"/>
  <c r="K47" i="58"/>
  <c r="J59" i="60"/>
  <c r="L32" i="45"/>
  <c r="D13" i="78"/>
  <c r="N23" i="82"/>
  <c r="F89" i="75"/>
  <c r="D86" i="82"/>
  <c r="I14" i="60"/>
  <c r="N101" i="45"/>
  <c r="I18" i="53"/>
  <c r="I73" i="78"/>
  <c r="O70" i="51"/>
  <c r="O4" i="92"/>
  <c r="L65" i="44"/>
  <c r="I8" i="46"/>
  <c r="N68" i="67"/>
  <c r="F16" i="87"/>
  <c r="H89" i="84"/>
  <c r="I44" i="76"/>
  <c r="L25" i="29"/>
  <c r="I92" i="43"/>
  <c r="E53" i="93"/>
  <c r="L41" i="61"/>
  <c r="G85" i="39"/>
  <c r="O33" i="35"/>
  <c r="J6" i="90"/>
  <c r="H18" i="64"/>
  <c r="K97" i="70"/>
  <c r="D54" i="59"/>
  <c r="L79" i="68"/>
  <c r="G92" i="64"/>
  <c r="K83" i="65"/>
  <c r="J67" i="48"/>
  <c r="D14" i="56"/>
  <c r="M28" i="75"/>
  <c r="F101" i="45"/>
  <c r="N77" i="53"/>
  <c r="F53" i="84"/>
  <c r="J57" i="69"/>
  <c r="G28" i="27"/>
  <c r="M103" i="80"/>
  <c r="N21" i="91"/>
  <c r="L13" i="45"/>
  <c r="E26" i="53"/>
  <c r="M41" i="65"/>
  <c r="N52" i="66"/>
  <c r="F20" i="27"/>
  <c r="E17" i="81"/>
  <c r="F100" i="73"/>
  <c r="F23" i="93"/>
  <c r="H70" i="64"/>
  <c r="E20" i="65"/>
  <c r="G59" i="41"/>
  <c r="N29" i="80"/>
  <c r="H82" i="84"/>
  <c r="O10" i="82"/>
  <c r="H19" i="60"/>
  <c r="E46" i="48"/>
  <c r="J30" i="27"/>
  <c r="G20" i="44"/>
  <c r="H77" i="70"/>
  <c r="D8" i="33"/>
  <c r="O97" i="91"/>
  <c r="O44" i="29"/>
  <c r="G38" i="72"/>
  <c r="O98" i="90"/>
  <c r="F44" i="50"/>
  <c r="I92" i="61"/>
  <c r="K24" i="30"/>
  <c r="M19" i="64"/>
  <c r="I73" i="43"/>
  <c r="H73" i="82"/>
  <c r="M55" i="81"/>
  <c r="G74" i="61"/>
  <c r="E40" i="45"/>
  <c r="O40" i="49"/>
  <c r="L56" i="72"/>
  <c r="L16" i="53"/>
  <c r="N40" i="68"/>
  <c r="E104" i="85"/>
  <c r="L91" i="66"/>
  <c r="K58" i="80"/>
  <c r="H4" i="59"/>
  <c r="H34" i="57"/>
  <c r="O58" i="32"/>
  <c r="F74" i="45"/>
  <c r="O17" i="75"/>
  <c r="H39" i="94"/>
  <c r="F9" i="81"/>
  <c r="J62" i="51"/>
  <c r="H6" i="46"/>
  <c r="M16" i="58"/>
  <c r="O34" i="69"/>
  <c r="I50" i="47"/>
  <c r="J46" i="61"/>
  <c r="I103" i="64"/>
  <c r="L76" i="77"/>
  <c r="H103" i="89"/>
  <c r="O50" i="90"/>
  <c r="H49" i="55"/>
  <c r="E50" i="42"/>
  <c r="I76" i="65"/>
  <c r="M21" i="40"/>
  <c r="E51" i="93"/>
  <c r="E35" i="27"/>
  <c r="G4" i="32"/>
  <c r="M92" i="82"/>
  <c r="G35" i="55"/>
  <c r="H62" i="25"/>
  <c r="G23" i="66"/>
  <c r="G35" i="29"/>
  <c r="K83" i="39"/>
  <c r="O11" i="38"/>
  <c r="K9" i="64"/>
  <c r="I21" i="26"/>
  <c r="H6" i="55"/>
  <c r="N86" i="68"/>
  <c r="G83" i="45"/>
  <c r="I38" i="70"/>
  <c r="J22" i="33"/>
  <c r="I10" i="40"/>
  <c r="O65" i="91"/>
  <c r="K7" i="47"/>
  <c r="M79" i="40"/>
  <c r="K13"/>
  <c r="D73" i="79"/>
  <c r="F30" i="45"/>
  <c r="D35" i="69"/>
  <c r="F65" i="80"/>
  <c r="G58" i="41"/>
  <c r="K23" i="45"/>
  <c r="K53" i="26"/>
  <c r="H43" i="68"/>
  <c r="E65"/>
  <c r="N101" i="46"/>
  <c r="N62" i="74"/>
  <c r="I8" i="67"/>
  <c r="G49" i="33"/>
  <c r="L34" i="45"/>
  <c r="H24" i="90"/>
  <c r="E21" i="60"/>
  <c r="E68" i="72"/>
  <c r="O34" i="30"/>
  <c r="O30" i="90"/>
  <c r="M100" i="78"/>
  <c r="E38" i="19"/>
  <c r="G28" i="86"/>
  <c r="E79" i="74"/>
  <c r="K29" i="53"/>
  <c r="J101" i="73"/>
  <c r="L13" i="55"/>
  <c r="K14"/>
  <c r="I54" i="77"/>
  <c r="H47" i="30"/>
  <c r="F8" i="65"/>
  <c r="G24" i="77"/>
  <c r="J89" i="26"/>
  <c r="N82" i="72"/>
  <c r="H106" i="87"/>
  <c r="G33" i="71"/>
  <c r="F33" i="85"/>
  <c r="N104" i="94"/>
  <c r="M48" i="92"/>
  <c r="E61" i="77"/>
  <c r="J14" i="87"/>
  <c r="E22" i="38"/>
  <c r="G28" i="59"/>
  <c r="E83" i="79"/>
  <c r="E94" i="58"/>
  <c r="G28" i="79"/>
  <c r="L50" i="56"/>
  <c r="K95" i="41"/>
  <c r="F42" i="38"/>
  <c r="I74" i="32"/>
  <c r="O98" i="74"/>
  <c r="E33" i="80"/>
  <c r="K24" i="54"/>
  <c r="O10" i="56"/>
  <c r="F107" i="45"/>
  <c r="I24" i="34"/>
  <c r="D91" i="42"/>
  <c r="D56" i="91"/>
  <c r="J57" i="35"/>
  <c r="K74" i="36"/>
  <c r="I67" i="75"/>
  <c r="O77" i="63"/>
  <c r="I71" i="94"/>
  <c r="H40" i="63"/>
  <c r="G34" i="43"/>
  <c r="L85" i="73"/>
  <c r="G83" i="89"/>
  <c r="M39" i="78"/>
  <c r="G64" i="60"/>
  <c r="N20" i="84"/>
  <c r="F41" i="80"/>
  <c r="G47" i="76"/>
  <c r="F4" i="62"/>
  <c r="L41" i="32"/>
  <c r="G16" i="70"/>
  <c r="H46" i="85"/>
  <c r="H53" i="26"/>
  <c r="H27" i="87"/>
  <c r="D10" i="39"/>
  <c r="L44" i="78"/>
  <c r="K71" i="62"/>
  <c r="D19" i="85"/>
  <c r="O85" i="26"/>
  <c r="G22" i="84"/>
  <c r="E56" i="60"/>
  <c r="I6" i="76"/>
  <c r="M42" i="59"/>
  <c r="J29" i="82"/>
  <c r="O9" i="83"/>
  <c r="M79" i="48"/>
  <c r="F49" i="29"/>
  <c r="D23" i="53"/>
  <c r="D103" i="71"/>
  <c r="I26" i="47"/>
  <c r="G64" i="59"/>
  <c r="J18" i="47"/>
  <c r="N28" i="87"/>
  <c r="E73" i="68"/>
  <c r="J49" i="63"/>
  <c r="K18" i="57"/>
  <c r="D8" i="82"/>
  <c r="I6" i="93"/>
  <c r="G21" i="43"/>
  <c r="H24" i="48"/>
  <c r="I38" i="65"/>
  <c r="F97" i="85"/>
  <c r="J39" i="63"/>
  <c r="J59" i="61"/>
  <c r="G92" i="36"/>
  <c r="I45" i="84"/>
  <c r="J44" i="86"/>
  <c r="F82" i="71"/>
  <c r="I14" i="19"/>
  <c r="G46" i="70"/>
  <c r="J65" i="89"/>
  <c r="F24" i="82"/>
  <c r="I33" i="47"/>
  <c r="D40" i="58"/>
  <c r="F76" i="36"/>
  <c r="E86" i="54"/>
  <c r="D59" i="84"/>
  <c r="G65" i="51"/>
  <c r="G85" i="57"/>
  <c r="N17" i="36"/>
  <c r="F42" i="91"/>
  <c r="H5" i="33"/>
  <c r="O37" i="74"/>
  <c r="D82" i="80"/>
  <c r="O94" i="47"/>
  <c r="D71" i="86"/>
  <c r="D27" i="84"/>
  <c r="F59" i="30"/>
  <c r="M89" i="29"/>
  <c r="M74" i="93"/>
  <c r="F59" i="33"/>
  <c r="M17" i="82"/>
  <c r="D62" i="63"/>
  <c r="D64" i="57"/>
  <c r="O95" i="74"/>
  <c r="H98" i="34"/>
  <c r="I56" i="53"/>
  <c r="G88" i="83"/>
  <c r="M103" i="26"/>
  <c r="F98" i="25"/>
  <c r="H51" i="58"/>
  <c r="CB56" i="3"/>
  <c r="K4" i="68"/>
  <c r="N8" i="75"/>
  <c r="O14" i="27"/>
  <c r="M17" i="39"/>
  <c r="F95" i="41"/>
  <c r="I52" i="26"/>
  <c r="O57" i="51"/>
  <c r="E45"/>
  <c r="F35" i="36"/>
  <c r="O13" i="33"/>
  <c r="N26" i="58"/>
  <c r="K44" i="59"/>
  <c r="F91" i="94"/>
  <c r="K65" i="69"/>
  <c r="O77" i="65"/>
  <c r="N39" i="90"/>
  <c r="M76" i="34"/>
  <c r="D79" i="87"/>
  <c r="N30" i="19"/>
  <c r="I49" i="47"/>
  <c r="J76" i="86"/>
  <c r="F26" i="38"/>
  <c r="N106" i="44"/>
  <c r="E49" i="40"/>
  <c r="K26" i="39"/>
  <c r="F5" i="35"/>
  <c r="E19" i="77"/>
  <c r="O40" i="33"/>
  <c r="M68" i="35"/>
  <c r="M76" i="93"/>
  <c r="D50" i="52"/>
  <c r="F31" i="35"/>
  <c r="H43" i="19"/>
  <c r="F58" i="39"/>
  <c r="J9" i="65"/>
  <c r="N54" i="90"/>
  <c r="G92" i="70"/>
  <c r="D95" i="33"/>
  <c r="G59" i="47"/>
  <c r="E5" i="60"/>
  <c r="G62" i="61"/>
  <c r="F27" i="47"/>
  <c r="K39" i="86"/>
  <c r="H17" i="63"/>
  <c r="O50" i="59"/>
  <c r="J31" i="86"/>
  <c r="O18" i="47"/>
  <c r="K88" i="84"/>
  <c r="E85" i="44"/>
  <c r="G5" i="59"/>
  <c r="O22" i="51"/>
  <c r="O58" i="94"/>
  <c r="M10" i="45"/>
  <c r="L9" i="83"/>
  <c r="F82" i="36"/>
  <c r="M77" i="48"/>
  <c r="E67" i="38"/>
  <c r="O86" i="67"/>
  <c r="L45" i="83"/>
  <c r="I53" i="77"/>
  <c r="I61" i="53"/>
  <c r="J34" i="59"/>
  <c r="D65" i="69"/>
  <c r="F39" i="75"/>
  <c r="J45" i="38"/>
  <c r="H94" i="68"/>
  <c r="K58" i="72"/>
  <c r="J55" i="38"/>
  <c r="E17" i="91"/>
  <c r="F13" i="75"/>
  <c r="G46" i="46"/>
  <c r="D43" i="76"/>
  <c r="J50" i="59"/>
  <c r="G31" i="92"/>
  <c r="F62" i="39"/>
  <c r="M20" i="64"/>
  <c r="G52" i="45"/>
  <c r="F17" i="19"/>
  <c r="D28" i="75"/>
  <c r="K48" i="26"/>
  <c r="M31" i="53"/>
  <c r="N74" i="32"/>
  <c r="D104" i="82"/>
  <c r="F24" i="87"/>
  <c r="N26" i="38"/>
  <c r="I33" i="87"/>
  <c r="E36" i="58"/>
  <c r="L51" i="77"/>
  <c r="C11" i="97"/>
  <c r="I11" i="90"/>
  <c r="F5" i="83"/>
  <c r="N21" i="62"/>
  <c r="K43" i="92"/>
  <c r="D71" i="64"/>
  <c r="J19" i="70"/>
  <c r="H48" i="84"/>
  <c r="N9" i="19"/>
  <c r="O74" i="80"/>
  <c r="K104" i="61"/>
  <c r="K35" i="62"/>
  <c r="D47" i="58"/>
  <c r="G15" i="67"/>
  <c r="F22" i="70"/>
  <c r="F54" i="42"/>
  <c r="G27" i="92"/>
  <c r="K94" i="34"/>
  <c r="M16" i="75"/>
  <c r="H50" i="94"/>
  <c r="J59" i="74"/>
  <c r="O44" i="53"/>
  <c r="I76" i="78"/>
  <c r="L15" i="61"/>
  <c r="E30" i="55"/>
  <c r="G53" i="89"/>
  <c r="L86" i="48"/>
  <c r="E65" i="32"/>
  <c r="N34" i="53"/>
  <c r="E64" i="54"/>
  <c r="F30" i="42"/>
  <c r="N73" i="90"/>
  <c r="F8" i="92"/>
  <c r="F35" i="43"/>
  <c r="E37" i="48"/>
  <c r="D26" i="26"/>
  <c r="J92" i="55"/>
  <c r="D49" i="61"/>
  <c r="G100" i="56"/>
  <c r="G20" i="78"/>
  <c r="N94" i="86"/>
  <c r="N80" i="29"/>
  <c r="L30" i="81"/>
  <c r="K9" i="75"/>
  <c r="H28" i="63"/>
  <c r="L74" i="25"/>
  <c r="H29"/>
  <c r="N36" i="72"/>
  <c r="K83" i="63"/>
  <c r="M29" i="70"/>
  <c r="N18" i="92"/>
  <c r="K48" i="33"/>
  <c r="E33" i="57"/>
  <c r="F92" i="89"/>
  <c r="O13" i="26"/>
  <c r="O80" i="32"/>
  <c r="F57" i="53"/>
  <c r="L70" i="75"/>
  <c r="E107" i="47"/>
  <c r="H52" i="42"/>
  <c r="H24" i="87"/>
  <c r="G27" i="27"/>
  <c r="O15" i="75"/>
  <c r="CH51" i="3"/>
  <c r="N12" i="39"/>
  <c r="D43" i="92"/>
  <c r="H106" i="80"/>
  <c r="I7" i="71"/>
  <c r="M44" i="30"/>
  <c r="G52" i="71"/>
  <c r="K103" i="25"/>
  <c r="E103" i="29"/>
  <c r="L12" i="87"/>
  <c r="H54" i="73"/>
  <c r="L22" i="51"/>
  <c r="F85" i="78"/>
  <c r="I56" i="68"/>
  <c r="G85" i="19"/>
  <c r="I15" i="84"/>
  <c r="J53" i="39"/>
  <c r="D29" i="50"/>
  <c r="G35" i="54"/>
  <c r="O86" i="61"/>
  <c r="O43" i="94"/>
  <c r="O26" i="82"/>
  <c r="G86" i="51"/>
  <c r="O94" i="89"/>
  <c r="O39" i="59"/>
  <c r="N57" i="57"/>
  <c r="L91" i="80"/>
  <c r="J71" i="55"/>
  <c r="E24" i="71"/>
  <c r="G5" i="47"/>
  <c r="E11" i="52"/>
  <c r="G23" i="63"/>
  <c r="J4" i="78"/>
  <c r="O8" i="73"/>
  <c r="M34" i="71"/>
  <c r="D103" i="33"/>
  <c r="K19" i="75"/>
  <c r="M6" i="90"/>
  <c r="F48" i="81"/>
  <c r="J46" i="25"/>
  <c r="O98" i="87"/>
  <c r="F70" i="61"/>
  <c r="K6" i="19"/>
  <c r="I47" i="71"/>
  <c r="F50" i="70"/>
  <c r="O95" i="71"/>
  <c r="G31" i="70"/>
  <c r="N53" i="81"/>
  <c r="O83" i="74"/>
  <c r="K41" i="77"/>
  <c r="M4" i="46"/>
  <c r="K17" i="38"/>
  <c r="D71" i="19"/>
  <c r="H17" i="89"/>
  <c r="F68" i="53"/>
  <c r="L44" i="75"/>
  <c r="F10" i="41"/>
  <c r="N11" i="36"/>
  <c r="G91" i="77"/>
  <c r="G56" i="43"/>
  <c r="M76"/>
  <c r="N36" i="90"/>
  <c r="O13" i="39"/>
  <c r="J8" i="29"/>
  <c r="D31" i="47"/>
  <c r="J26" i="89"/>
  <c r="H48" i="59"/>
  <c r="F89" i="91"/>
  <c r="N50" i="66"/>
  <c r="M23" i="57"/>
  <c r="D106" i="27"/>
  <c r="M4" i="63"/>
  <c r="O65" i="51"/>
  <c r="F46" i="65"/>
  <c r="J53" i="76"/>
  <c r="J86" i="65"/>
  <c r="E28" i="79"/>
  <c r="M40" i="46"/>
  <c r="K100" i="78"/>
  <c r="G29" i="19"/>
  <c r="O14" i="33"/>
  <c r="N33" i="44"/>
  <c r="K11" i="84"/>
  <c r="O45" i="87"/>
  <c r="J61"/>
  <c r="E67" i="43"/>
  <c r="J48" i="54"/>
  <c r="O53" i="76"/>
  <c r="I57" i="19"/>
  <c r="F45" i="60"/>
  <c r="F50" i="41"/>
  <c r="M42" i="87"/>
  <c r="G95" i="79"/>
  <c r="G76" i="83"/>
  <c r="E44" i="49"/>
  <c r="G57" i="53"/>
  <c r="I28" i="85"/>
  <c r="D27" i="39"/>
  <c r="I83" i="75"/>
  <c r="M4" i="54"/>
  <c r="K39" i="91"/>
  <c r="H15" i="25"/>
  <c r="J106" i="75"/>
  <c r="K5" i="87"/>
  <c r="L64" i="44"/>
  <c r="K101" i="62"/>
  <c r="M5" i="89"/>
  <c r="I11" i="49"/>
  <c r="G14" i="86"/>
  <c r="J107" i="36"/>
  <c r="E50" i="51"/>
  <c r="K89" i="83"/>
  <c r="N70" i="53"/>
  <c r="L88" i="56"/>
  <c r="F91" i="55"/>
  <c r="M25" i="29"/>
  <c r="D79" i="41"/>
  <c r="M56" i="19"/>
  <c r="I61" i="47"/>
  <c r="N4" i="51"/>
  <c r="O50" i="65"/>
  <c r="E20" i="38"/>
  <c r="D32" i="87"/>
  <c r="I39" i="57"/>
  <c r="E30" i="79"/>
  <c r="G65" i="35"/>
  <c r="F32" i="84"/>
  <c r="O89" i="36"/>
  <c r="I67" i="42"/>
  <c r="J71" i="65"/>
  <c r="H17" i="74"/>
  <c r="K38" i="68"/>
  <c r="J88" i="69"/>
  <c r="D67"/>
  <c r="O71" i="45"/>
  <c r="F41" i="38"/>
  <c r="G56" i="48"/>
  <c r="L8" i="54"/>
  <c r="I4" i="30"/>
  <c r="D82" i="65"/>
  <c r="M23" i="75"/>
  <c r="F59" i="43"/>
  <c r="L50" i="80"/>
  <c r="O98" i="51"/>
  <c r="G42" i="32"/>
  <c r="G79" i="41"/>
  <c r="N38" i="29"/>
  <c r="K53" i="35"/>
  <c r="G53" i="69"/>
  <c r="D106" i="62"/>
  <c r="J50" i="34"/>
  <c r="D15" i="38"/>
  <c r="I94" i="46"/>
  <c r="N19" i="76"/>
  <c r="K28" i="44"/>
  <c r="N56" i="75"/>
  <c r="E42" i="87"/>
  <c r="F27" i="27"/>
  <c r="I10" i="72"/>
  <c r="H94" i="81"/>
  <c r="K37" i="69"/>
  <c r="M76" i="58"/>
  <c r="G67" i="90"/>
  <c r="D30" i="48"/>
  <c r="N16" i="82"/>
  <c r="M70" i="54"/>
  <c r="E20" i="62"/>
  <c r="H28" i="74"/>
  <c r="K37" i="73"/>
  <c r="K89" i="44"/>
  <c r="K11" i="41"/>
  <c r="F64" i="36"/>
  <c r="H64" i="56"/>
  <c r="I20" i="42"/>
  <c r="G26" i="68"/>
  <c r="G6" i="65"/>
  <c r="F35" i="75"/>
  <c r="I48" i="19"/>
  <c r="N30" i="44"/>
  <c r="N25" i="83"/>
  <c r="E22" i="68"/>
  <c r="K59" i="26"/>
  <c r="F101" i="75"/>
  <c r="F6" i="65"/>
  <c r="L49" i="39"/>
  <c r="N14" i="45"/>
  <c r="O26" i="56"/>
  <c r="L9" i="77"/>
  <c r="D40" i="85"/>
  <c r="I11" i="44"/>
  <c r="I76" i="86"/>
  <c r="F47" i="26"/>
  <c r="E85" i="92"/>
  <c r="K6" i="76"/>
  <c r="N39" i="35"/>
  <c r="G16" i="38"/>
  <c r="K88" i="89"/>
  <c r="O53" i="74"/>
  <c r="H16" i="48"/>
  <c r="E20" i="49"/>
  <c r="H19" i="57"/>
  <c r="N15" i="41"/>
  <c r="I33" i="46"/>
  <c r="E30" i="33"/>
  <c r="N89" i="76"/>
  <c r="K13" i="75"/>
  <c r="K83" i="56"/>
  <c r="I11" i="87"/>
  <c r="D25" i="59"/>
  <c r="M19" i="41"/>
  <c r="F31"/>
  <c r="M47" i="74"/>
  <c r="M17" i="73"/>
  <c r="M36" i="77"/>
  <c r="I39" i="49"/>
  <c r="I47" i="70"/>
  <c r="J48" i="86"/>
  <c r="G54" i="53"/>
  <c r="I46" i="62"/>
  <c r="N22" i="44"/>
  <c r="I43" i="64"/>
  <c r="O59" i="84"/>
  <c r="K104" i="86"/>
  <c r="M82" i="67"/>
  <c r="E39" i="44"/>
  <c r="E18" i="63"/>
  <c r="J57" i="79"/>
  <c r="G10" i="30"/>
  <c r="G16" i="72"/>
  <c r="D31" i="50"/>
  <c r="I86" i="19"/>
  <c r="E70" i="58"/>
  <c r="O68" i="26"/>
  <c r="K98" i="44"/>
  <c r="J103" i="84"/>
  <c r="G94" i="93"/>
  <c r="F104" i="60"/>
  <c r="E40" i="92"/>
  <c r="O62" i="67"/>
  <c r="M55" i="47"/>
  <c r="G76" i="26"/>
  <c r="I98" i="44"/>
  <c r="I58" i="61"/>
  <c r="K82" i="80"/>
  <c r="H51" i="27"/>
  <c r="L85" i="25"/>
  <c r="D45" i="38"/>
  <c r="N68" i="82"/>
  <c r="H52" i="33"/>
  <c r="I48" i="89"/>
  <c r="J74" i="70"/>
  <c r="F55" i="72"/>
  <c r="I73" i="71"/>
  <c r="G49" i="77"/>
  <c r="O8" i="49"/>
  <c r="E34" i="50"/>
  <c r="G29" i="43"/>
  <c r="M44" i="55"/>
  <c r="M33"/>
  <c r="E21" i="70"/>
  <c r="O40" i="25"/>
  <c r="F18" i="38"/>
  <c r="F104" i="59"/>
  <c r="H32" i="49"/>
  <c r="N83" i="55"/>
  <c r="H103" i="76"/>
  <c r="L86" i="93"/>
  <c r="M98" i="26"/>
  <c r="L100" i="78"/>
  <c r="F18" i="33"/>
  <c r="N19" i="48"/>
  <c r="D104" i="87"/>
  <c r="L82" i="92"/>
  <c r="D65" i="64"/>
  <c r="I59" i="55"/>
  <c r="G103" i="52"/>
  <c r="M41" i="70"/>
  <c r="H41" i="75"/>
  <c r="H46" i="70"/>
  <c r="E79" i="94"/>
  <c r="I48" i="93"/>
  <c r="M35" i="87"/>
  <c r="F26" i="47"/>
  <c r="J53" i="69"/>
  <c r="N8" i="56"/>
  <c r="J86" i="44"/>
  <c r="G86" i="40"/>
  <c r="J73" i="26"/>
  <c r="J9" i="77"/>
  <c r="K76" i="33"/>
  <c r="G11" i="55"/>
  <c r="J36" i="73"/>
  <c r="H74" i="54"/>
  <c r="L34" i="40"/>
  <c r="I50" i="45"/>
  <c r="F35" i="56"/>
  <c r="J74" i="66"/>
  <c r="H4" i="54"/>
  <c r="J25" i="75"/>
  <c r="G58" i="42"/>
  <c r="D27" i="90"/>
  <c r="H106" i="83"/>
  <c r="K37" i="46"/>
  <c r="H42" i="84"/>
  <c r="N10" i="68"/>
  <c r="J43" i="50"/>
  <c r="N47" i="55"/>
  <c r="H48" i="78"/>
  <c r="N52" i="26"/>
  <c r="H46" i="84"/>
  <c r="O37" i="92"/>
  <c r="E47" i="19"/>
  <c r="D94" i="47"/>
  <c r="E48" i="81"/>
  <c r="E38" i="75"/>
  <c r="O50" i="78"/>
  <c r="M49" i="93"/>
  <c r="J7" i="53"/>
  <c r="L26" i="94"/>
  <c r="I45" i="56"/>
  <c r="K51" i="44"/>
  <c r="H67" i="34"/>
  <c r="M70" i="58"/>
  <c r="L80" i="45"/>
  <c r="G98" i="43"/>
  <c r="G41" i="73"/>
  <c r="I23" i="38"/>
  <c r="H57" i="65"/>
  <c r="F107" i="63"/>
  <c r="J9" i="93"/>
  <c r="G10" i="64"/>
  <c r="O65" i="61"/>
  <c r="H9" i="44"/>
  <c r="N38" i="68"/>
  <c r="M21" i="76"/>
  <c r="CD40" i="3"/>
  <c r="O46" i="80"/>
  <c r="H101" i="33"/>
  <c r="K31" i="57"/>
  <c r="O32" i="40"/>
  <c r="G80" i="75"/>
  <c r="F56" i="83"/>
  <c r="N16" i="53"/>
  <c r="N97" i="39"/>
  <c r="J80" i="76"/>
  <c r="N44" i="84"/>
  <c r="F95"/>
  <c r="M62" i="65"/>
  <c r="N48" i="26"/>
  <c r="H38"/>
  <c r="L68" i="83"/>
  <c r="H68" i="43"/>
  <c r="E11" i="64"/>
  <c r="E104" i="76"/>
  <c r="J94" i="34"/>
  <c r="J43" i="41"/>
  <c r="H10" i="64"/>
  <c r="L26" i="47"/>
  <c r="J61" i="60"/>
  <c r="K86" i="56"/>
  <c r="L64" i="30"/>
  <c r="N32" i="51"/>
  <c r="D54" i="76"/>
  <c r="M68" i="84"/>
  <c r="M48" i="34"/>
  <c r="N25" i="81"/>
  <c r="D47" i="83"/>
  <c r="G27" i="67"/>
  <c r="J35" i="35"/>
  <c r="M95" i="43"/>
  <c r="D83" i="69"/>
  <c r="H38" i="46"/>
  <c r="M6" i="84"/>
  <c r="H47" i="46"/>
  <c r="I7" i="86"/>
  <c r="J97" i="36"/>
  <c r="L22" i="27"/>
  <c r="I49" i="41"/>
  <c r="O83" i="33"/>
  <c r="E73" i="29"/>
  <c r="N34" i="60"/>
  <c r="J26" i="74"/>
  <c r="K65" i="77"/>
  <c r="L31" i="60"/>
  <c r="F79" i="33"/>
  <c r="G61" i="47"/>
  <c r="N107" i="59"/>
  <c r="L17" i="33"/>
  <c r="O73" i="67"/>
  <c r="J44" i="58"/>
  <c r="K83" i="69"/>
  <c r="F51" i="43"/>
  <c r="O44" i="34"/>
  <c r="H34" i="47"/>
  <c r="N36" i="68"/>
  <c r="L56" i="91"/>
  <c r="J79" i="86"/>
  <c r="H24" i="66"/>
  <c r="O73" i="77"/>
  <c r="L5" i="66"/>
  <c r="D36" i="71"/>
  <c r="J32" i="54"/>
  <c r="F67" i="62"/>
  <c r="G103" i="58"/>
  <c r="N30" i="80"/>
  <c r="G46" i="62"/>
  <c r="H5" i="48"/>
  <c r="N16" i="66"/>
  <c r="O19" i="69"/>
  <c r="K98" i="70"/>
  <c r="E42" i="30"/>
  <c r="K4" i="78"/>
  <c r="L14" i="27"/>
  <c r="J38" i="84"/>
  <c r="L56" i="35"/>
  <c r="G47" i="34"/>
  <c r="E42" i="35"/>
  <c r="D64" i="33"/>
  <c r="O48" i="73"/>
  <c r="E51" i="41"/>
  <c r="M71" i="86"/>
  <c r="N10" i="40"/>
  <c r="N64" i="64"/>
  <c r="E79" i="53"/>
  <c r="I42" i="33"/>
  <c r="D18" i="54"/>
  <c r="L20" i="60"/>
  <c r="D70" i="67"/>
  <c r="O46" i="75"/>
  <c r="D71" i="53"/>
  <c r="H61" i="36"/>
  <c r="L67" i="58"/>
  <c r="N80" i="71"/>
  <c r="I21" i="54"/>
  <c r="H100" i="43"/>
  <c r="N7" i="76"/>
  <c r="K82" i="54"/>
  <c r="I26" i="27"/>
  <c r="N41" i="68"/>
  <c r="N13" i="30"/>
  <c r="G43" i="55"/>
  <c r="G44" i="82"/>
  <c r="H8" i="53"/>
  <c r="I65" i="48"/>
  <c r="J4" i="32"/>
  <c r="K22" i="94"/>
  <c r="K67" i="59"/>
  <c r="N35" i="84"/>
  <c r="K9" i="62"/>
  <c r="K8" i="91"/>
  <c r="N42" i="58"/>
  <c r="N62" i="19"/>
  <c r="G106" i="93"/>
  <c r="J56" i="50"/>
  <c r="O67" i="69"/>
  <c r="D45" i="86"/>
  <c r="J21" i="50"/>
  <c r="M35" i="27"/>
  <c r="M91" i="76"/>
  <c r="J30" i="93"/>
  <c r="L42" i="87"/>
  <c r="I20" i="68"/>
  <c r="K4" i="53"/>
  <c r="K101" i="82"/>
  <c r="F20" i="59"/>
  <c r="E9" i="36"/>
  <c r="K61" i="60"/>
  <c r="F33" i="94"/>
  <c r="L30" i="77"/>
  <c r="G33" i="79"/>
  <c r="F76" i="72"/>
  <c r="H11" i="50"/>
  <c r="N106" i="91"/>
  <c r="L59" i="72"/>
  <c r="I27" i="43"/>
  <c r="J103" i="32"/>
  <c r="F42" i="53"/>
  <c r="G74" i="49"/>
  <c r="F49" i="41"/>
  <c r="G94" i="50"/>
  <c r="D104" i="40"/>
  <c r="H58" i="30"/>
  <c r="J9" i="60"/>
  <c r="I43" i="55"/>
  <c r="L71" i="75"/>
  <c r="J32" i="64"/>
  <c r="G85" i="73"/>
  <c r="I31" i="27"/>
  <c r="F59" i="32"/>
  <c r="E48" i="59"/>
  <c r="F17" i="46"/>
  <c r="K77" i="89"/>
  <c r="E76" i="94"/>
  <c r="M103" i="39"/>
  <c r="D59" i="29"/>
  <c r="CF39" i="3"/>
  <c r="M73" i="48"/>
  <c r="O79" i="41"/>
  <c r="I42" i="45"/>
  <c r="K92" i="77"/>
  <c r="I107" i="74"/>
  <c r="H17" i="84"/>
  <c r="H89" i="92"/>
  <c r="M59" i="87"/>
  <c r="F56" i="59"/>
  <c r="M83" i="39"/>
  <c r="O55" i="48"/>
  <c r="M107" i="71"/>
  <c r="N5" i="59"/>
  <c r="N54" i="70"/>
  <c r="O80" i="62"/>
  <c r="D92" i="46"/>
  <c r="F83" i="78"/>
  <c r="D13" i="91"/>
  <c r="F4" i="60"/>
  <c r="D14" i="53"/>
  <c r="J33" i="36"/>
  <c r="N89" i="43"/>
  <c r="K44" i="64"/>
  <c r="E89" i="59"/>
  <c r="J89" i="71"/>
  <c r="H71" i="64"/>
  <c r="N59" i="45"/>
  <c r="H16" i="30"/>
  <c r="H70" i="75"/>
  <c r="H61" i="52"/>
  <c r="J91" i="92"/>
  <c r="D97" i="34"/>
  <c r="D8" i="47"/>
  <c r="L36" i="33"/>
  <c r="O25" i="61"/>
  <c r="J22" i="77"/>
  <c r="O14" i="32"/>
  <c r="D71" i="67"/>
  <c r="F86" i="87"/>
  <c r="K77" i="86"/>
  <c r="J55" i="48"/>
  <c r="J45" i="86"/>
  <c r="M101" i="60"/>
  <c r="G8" i="49"/>
  <c r="I16" i="52"/>
  <c r="N41" i="61"/>
  <c r="J73"/>
  <c r="G74" i="67"/>
  <c r="N56" i="87"/>
  <c r="L34" i="48"/>
  <c r="J98" i="34"/>
  <c r="M19" i="66"/>
  <c r="H36" i="51"/>
  <c r="H36" i="40"/>
  <c r="G23" i="44"/>
  <c r="H88" i="29"/>
  <c r="M86" i="55"/>
  <c r="D13" i="77"/>
  <c r="H40" i="36"/>
  <c r="J46" i="58"/>
  <c r="O88" i="94"/>
  <c r="D20" i="26"/>
  <c r="G38" i="42"/>
  <c r="I10" i="43"/>
  <c r="G35" i="35"/>
  <c r="K89" i="92"/>
  <c r="L53" i="43"/>
  <c r="O23" i="68"/>
  <c r="K89" i="91"/>
  <c r="H50" i="78"/>
  <c r="D9" i="26"/>
  <c r="J30" i="35"/>
  <c r="D48" i="64"/>
  <c r="O104" i="83"/>
  <c r="J74" i="47"/>
  <c r="H67" i="93"/>
  <c r="L68" i="75"/>
  <c r="N55" i="32"/>
  <c r="M28" i="48"/>
  <c r="N6" i="64"/>
  <c r="H34" i="56"/>
  <c r="O39" i="57"/>
  <c r="O94" i="27"/>
  <c r="G104" i="67"/>
  <c r="D34" i="66"/>
  <c r="G43" i="68"/>
  <c r="M98" i="57"/>
  <c r="N79" i="59"/>
  <c r="F62" i="63"/>
  <c r="I65" i="93"/>
  <c r="N70" i="47"/>
  <c r="M98" i="74"/>
  <c r="O92" i="40"/>
  <c r="O43" i="77"/>
  <c r="M31" i="26"/>
  <c r="F50" i="29"/>
  <c r="G13" i="71"/>
  <c r="J65" i="64"/>
  <c r="F24" i="57"/>
  <c r="J79" i="27"/>
  <c r="I49" i="58"/>
  <c r="H89" i="75"/>
  <c r="I25" i="68"/>
  <c r="N67" i="44"/>
  <c r="G14" i="94"/>
  <c r="O82" i="58"/>
  <c r="CK28" i="3"/>
  <c r="K76" i="64"/>
  <c r="H98" i="41"/>
  <c r="N52" i="40"/>
  <c r="J28" i="74"/>
  <c r="G88" i="36"/>
  <c r="N7" i="84"/>
  <c r="F55" i="51"/>
  <c r="H14" i="34"/>
  <c r="G39" i="38"/>
  <c r="D39" i="51"/>
  <c r="O6" i="57"/>
  <c r="L80" i="27"/>
  <c r="E83" i="69"/>
  <c r="J71" i="75"/>
  <c r="D51" i="85"/>
  <c r="H29" i="26"/>
  <c r="J37" i="64"/>
  <c r="K64" i="59"/>
  <c r="F83" i="46"/>
  <c r="CL29" i="3"/>
  <c r="O15" i="47"/>
  <c r="D29"/>
  <c r="E97" i="29"/>
  <c r="L25" i="22"/>
  <c r="L94" i="35"/>
  <c r="N32" i="71"/>
  <c r="L58" i="33"/>
  <c r="M94" i="60"/>
  <c r="F88" i="62"/>
  <c r="J56" i="68"/>
  <c r="D71" i="57"/>
  <c r="G76" i="85"/>
  <c r="O91" i="39"/>
  <c r="N54" i="49"/>
  <c r="I76" i="64"/>
  <c r="O86" i="77"/>
  <c r="O29"/>
  <c r="O35" i="73"/>
  <c r="E9" i="57"/>
  <c r="K31" i="91"/>
  <c r="G40"/>
  <c r="N80" i="62"/>
  <c r="H46" i="94"/>
  <c r="L52" i="38"/>
  <c r="K104" i="70"/>
  <c r="E41" i="27"/>
  <c r="E8" i="44"/>
  <c r="O53" i="71"/>
  <c r="L39" i="92"/>
  <c r="O11" i="35"/>
  <c r="J98" i="62"/>
  <c r="K79" i="78"/>
  <c r="E15" i="48"/>
  <c r="I20" i="69"/>
  <c r="N47" i="80"/>
  <c r="I64" i="48"/>
  <c r="H86" i="78"/>
  <c r="H22" i="74"/>
  <c r="F6" i="71"/>
  <c r="E94" i="82"/>
  <c r="M92" i="30"/>
  <c r="G74" i="82"/>
  <c r="D34" i="80"/>
  <c r="N28" i="89"/>
  <c r="O32" i="84"/>
  <c r="M8" i="78"/>
  <c r="E74" i="33"/>
  <c r="N21" i="73"/>
  <c r="D41" i="78"/>
  <c r="L97" i="43"/>
  <c r="O43" i="73"/>
  <c r="L103" i="56"/>
  <c r="E52" i="62"/>
  <c r="M55" i="45"/>
  <c r="I64" i="89"/>
  <c r="K47" i="84"/>
  <c r="F10" i="39"/>
  <c r="I58" i="58"/>
  <c r="M80"/>
  <c r="I61" i="30"/>
  <c r="E82" i="32"/>
  <c r="F23" i="56"/>
  <c r="O34" i="74"/>
  <c r="M13" i="91"/>
  <c r="G28" i="87"/>
  <c r="O80" i="59"/>
  <c r="F53" i="64"/>
  <c r="I18" i="52"/>
  <c r="I92" i="34"/>
  <c r="N50" i="78"/>
  <c r="K33" i="74"/>
  <c r="O68" i="45"/>
  <c r="H65" i="41"/>
  <c r="F100" i="71"/>
  <c r="G97" i="26"/>
  <c r="D21" i="80"/>
  <c r="H61" i="43"/>
  <c r="I20" i="62"/>
  <c r="O20" i="38"/>
  <c r="M42" i="58"/>
  <c r="G30" i="91"/>
  <c r="N17" i="70"/>
  <c r="K33" i="92"/>
  <c r="L92" i="55"/>
  <c r="E56" i="35"/>
  <c r="K88" i="75"/>
  <c r="L22" i="30"/>
  <c r="H88" i="41"/>
  <c r="K8" i="93"/>
  <c r="I45" i="29"/>
  <c r="F62" i="47"/>
  <c r="O16" i="41"/>
  <c r="J34" i="36"/>
  <c r="L101" i="59"/>
  <c r="K47" i="55"/>
  <c r="K77" i="40"/>
  <c r="J54" i="73"/>
  <c r="K82" i="92"/>
  <c r="F51" i="80"/>
  <c r="K100" i="54"/>
  <c r="H52" i="86"/>
  <c r="L17" i="92"/>
  <c r="I88" i="72"/>
  <c r="G33" i="93"/>
  <c r="J12" i="92"/>
  <c r="K107" i="29"/>
  <c r="N103" i="36"/>
  <c r="K88" i="49"/>
  <c r="L52" i="73"/>
  <c r="K23" i="25"/>
  <c r="E42" i="27"/>
  <c r="N48" i="81"/>
  <c r="I44" i="67"/>
  <c r="K56" i="71"/>
  <c r="G80" i="26"/>
  <c r="O10" i="77"/>
  <c r="I74" i="52"/>
  <c r="G50" i="93"/>
  <c r="N100" i="36"/>
  <c r="D31" i="61"/>
  <c r="G32" i="42"/>
  <c r="I57" i="74"/>
  <c r="O59" i="92"/>
  <c r="D59" i="89"/>
  <c r="E59" i="76"/>
  <c r="N17" i="26"/>
  <c r="J58" i="27"/>
  <c r="D43" i="41"/>
  <c r="I12" i="56"/>
  <c r="H76" i="59"/>
  <c r="G40" i="51"/>
  <c r="D20" i="70"/>
  <c r="L30" i="49"/>
  <c r="M77" i="55"/>
  <c r="O43" i="75"/>
  <c r="F51" i="38"/>
  <c r="F22" i="27"/>
  <c r="N13" i="84"/>
  <c r="H83" i="81"/>
  <c r="I65" i="77"/>
  <c r="J88" i="60"/>
  <c r="L22" i="86"/>
  <c r="F18" i="27"/>
  <c r="F85" i="39"/>
  <c r="K79" i="59"/>
  <c r="H33" i="25"/>
  <c r="D86" i="39"/>
  <c r="H88" i="93"/>
  <c r="H88" i="48"/>
  <c r="I16" i="62"/>
  <c r="L15" i="49"/>
  <c r="F23" i="35"/>
  <c r="N97" i="90"/>
  <c r="O86" i="53"/>
  <c r="E55" i="19"/>
  <c r="L62" i="51"/>
  <c r="M36" i="58"/>
  <c r="D43" i="75"/>
  <c r="G9" i="77"/>
  <c r="J8" i="46"/>
  <c r="E39" i="92"/>
  <c r="E79" i="25"/>
  <c r="N107" i="45"/>
  <c r="J97" i="44"/>
  <c r="E22" i="26"/>
  <c r="O95"/>
  <c r="D53" i="57"/>
  <c r="K34" i="92"/>
  <c r="K85" i="25"/>
  <c r="H33" i="26"/>
  <c r="L62" i="90"/>
  <c r="M67" i="46"/>
  <c r="K98" i="40"/>
  <c r="N64" i="27"/>
  <c r="H94" i="39"/>
  <c r="K45" i="62"/>
  <c r="F59" i="93"/>
  <c r="L12" i="90"/>
  <c r="E55" i="69"/>
  <c r="I14" i="73"/>
  <c r="D92" i="43"/>
  <c r="F17" i="83"/>
  <c r="F34" i="34"/>
  <c r="M33" i="76"/>
  <c r="D101" i="36"/>
  <c r="M40" i="93"/>
  <c r="E45" i="43"/>
  <c r="H23" i="51"/>
  <c r="H27" i="48"/>
  <c r="D77" i="67"/>
  <c r="M31" i="47"/>
  <c r="H94" i="70"/>
  <c r="I65" i="68"/>
  <c r="M91" i="78"/>
  <c r="G39" i="44"/>
  <c r="D91" i="56"/>
  <c r="D49" i="84"/>
  <c r="O21" i="34"/>
  <c r="I8" i="51"/>
  <c r="F15" i="36"/>
  <c r="D57" i="38"/>
  <c r="M11" i="55"/>
  <c r="H58" i="87"/>
  <c r="I77" i="70"/>
  <c r="I31" i="96"/>
  <c r="L98" i="30"/>
  <c r="L34" i="62"/>
  <c r="I15" i="44"/>
  <c r="E98" i="83"/>
  <c r="O79" i="75"/>
  <c r="F40" i="82"/>
  <c r="I14" i="90"/>
  <c r="L38" i="82"/>
  <c r="CJ74" i="3"/>
  <c r="K68" i="71"/>
  <c r="D56" i="51"/>
  <c r="E76" i="63"/>
  <c r="G22" i="41"/>
  <c r="F30" i="54"/>
  <c r="O65" i="69"/>
  <c r="L92" i="90"/>
  <c r="H76" i="87"/>
  <c r="H79" i="69"/>
  <c r="I56" i="50"/>
  <c r="F83" i="70"/>
  <c r="K51" i="94"/>
  <c r="O9"/>
  <c r="I8" i="53"/>
  <c r="M21" i="70"/>
  <c r="G26" i="80"/>
  <c r="O27" i="39"/>
  <c r="N20" i="73"/>
  <c r="L62" i="55"/>
  <c r="K9" i="36"/>
  <c r="H56" i="65"/>
  <c r="E31" i="66"/>
  <c r="M30" i="60"/>
  <c r="J33" i="66"/>
  <c r="I15" i="47"/>
  <c r="D55" i="53"/>
  <c r="J61" i="33"/>
  <c r="F74" i="93"/>
  <c r="E51" i="44"/>
  <c r="J89" i="86"/>
  <c r="D59" i="40"/>
  <c r="I12" i="72"/>
  <c r="F68" i="57"/>
  <c r="E48" i="75"/>
  <c r="K92" i="40"/>
  <c r="O65" i="59"/>
  <c r="I6" i="46"/>
  <c r="E19" i="72"/>
  <c r="L35" i="87"/>
  <c r="E8" i="74"/>
  <c r="K86" i="75"/>
  <c r="L100" i="39"/>
  <c r="I71" i="38"/>
  <c r="N8" i="72"/>
  <c r="E74" i="39"/>
  <c r="K35" i="54"/>
  <c r="H67" i="58"/>
  <c r="F100" i="90"/>
  <c r="H91" i="53"/>
  <c r="L67" i="69"/>
  <c r="E100" i="57"/>
  <c r="M7" i="90"/>
  <c r="E33" i="68"/>
  <c r="O39" i="94"/>
  <c r="F101" i="30"/>
  <c r="I10" i="27"/>
  <c r="D68" i="68"/>
  <c r="D26" i="48"/>
  <c r="D10" i="57"/>
  <c r="K59" i="55"/>
  <c r="K48" i="54"/>
  <c r="I40" i="30"/>
  <c r="E34" i="41"/>
  <c r="G68" i="44"/>
  <c r="G23" i="50"/>
  <c r="M65" i="84"/>
  <c r="D48" i="48"/>
  <c r="O83" i="78"/>
  <c r="H41" i="70"/>
  <c r="I65" i="33"/>
  <c r="M19" i="47"/>
  <c r="N15" i="80"/>
  <c r="J85" i="39"/>
  <c r="J47" i="47"/>
  <c r="I106" i="63"/>
  <c r="N107" i="30"/>
  <c r="O39" i="32"/>
  <c r="J10" i="38"/>
  <c r="G67" i="51"/>
  <c r="I12" i="71"/>
  <c r="E95" i="25"/>
  <c r="F77" i="43"/>
  <c r="F19" i="69"/>
  <c r="O106" i="84"/>
  <c r="M12" i="94"/>
  <c r="M13" i="39"/>
  <c r="D62" i="71"/>
  <c r="O15" i="63"/>
  <c r="J44" i="57"/>
  <c r="O94" i="65"/>
  <c r="L43" i="58"/>
  <c r="N58" i="73"/>
  <c r="G76" i="32"/>
  <c r="O37" i="67"/>
  <c r="F38" i="69"/>
  <c r="F95" i="81"/>
  <c r="D40" i="69"/>
  <c r="O41" i="87"/>
  <c r="O5" i="75"/>
  <c r="L21" i="40"/>
  <c r="H15" i="69"/>
  <c r="M18" i="93"/>
  <c r="I86" i="89"/>
  <c r="L53" i="41"/>
  <c r="L7" i="44"/>
  <c r="N30" i="36"/>
  <c r="I24" i="35"/>
  <c r="N95" i="82"/>
  <c r="L47" i="64"/>
  <c r="I89" i="76"/>
  <c r="I18" i="74"/>
  <c r="L28" i="39"/>
  <c r="M106" i="49"/>
  <c r="N89" i="27"/>
  <c r="N73" i="53"/>
  <c r="O57" i="71"/>
  <c r="I6" i="65"/>
  <c r="G52" i="32"/>
  <c r="G44" i="77"/>
  <c r="D85" i="80"/>
  <c r="M18" i="72"/>
  <c r="I80" i="34"/>
  <c r="O23" i="77"/>
  <c r="H28" i="52"/>
  <c r="E31" i="67"/>
  <c r="L15" i="73"/>
  <c r="D4" i="32"/>
  <c r="J107" i="77"/>
  <c r="L65" i="74"/>
  <c r="G15"/>
  <c r="M91" i="67"/>
  <c r="L18" i="39"/>
  <c r="H70" i="92"/>
  <c r="M48" i="47"/>
  <c r="M86" i="62"/>
  <c r="L106" i="40"/>
  <c r="J17" i="33"/>
  <c r="I55" i="39"/>
  <c r="M36" i="63"/>
  <c r="F14" i="40"/>
  <c r="J83" i="71"/>
  <c r="F45" i="83"/>
  <c r="K57" i="91"/>
  <c r="F103" i="38"/>
  <c r="I58" i="90"/>
  <c r="E89" i="54"/>
  <c r="F101" i="39"/>
  <c r="J68" i="53"/>
  <c r="O31" i="19"/>
  <c r="K19" i="26"/>
  <c r="L57" i="68"/>
  <c r="G21" i="78"/>
  <c r="K80" i="26"/>
  <c r="F95" i="40"/>
  <c r="N107" i="92"/>
  <c r="N97" i="66"/>
  <c r="K54" i="69"/>
  <c r="E43" i="62"/>
  <c r="M27" i="67"/>
  <c r="L85" i="27"/>
  <c r="H97" i="43"/>
  <c r="F25" i="76"/>
  <c r="M12" i="69"/>
  <c r="L29" i="77"/>
  <c r="D19" i="47"/>
  <c r="I28" i="80"/>
  <c r="O46" i="64"/>
  <c r="G92" i="90"/>
  <c r="H88" i="74"/>
  <c r="I26" i="59"/>
  <c r="L101" i="49"/>
  <c r="E54" i="39"/>
  <c r="H28" i="72"/>
  <c r="M80" i="53"/>
  <c r="N37" i="93"/>
  <c r="K61" i="35"/>
  <c r="H82" i="48"/>
  <c r="E70" i="32"/>
  <c r="M97" i="49"/>
  <c r="H18" i="55"/>
  <c r="I5" i="33"/>
  <c r="L106" i="94"/>
  <c r="D47" i="79"/>
  <c r="L15" i="25"/>
  <c r="N62" i="72"/>
  <c r="L13" i="63"/>
  <c r="K57" i="47"/>
  <c r="M59" i="48"/>
  <c r="I32" i="89"/>
  <c r="L42" i="45"/>
  <c r="H77" i="64"/>
  <c r="O48" i="29"/>
  <c r="F92" i="49"/>
  <c r="F76" i="89"/>
  <c r="K64" i="73"/>
  <c r="H46" i="78"/>
  <c r="K8" i="72"/>
  <c r="F42" i="55"/>
  <c r="I61" i="40"/>
  <c r="N31" i="87"/>
  <c r="M12" i="29"/>
  <c r="F65" i="74"/>
  <c r="F91" i="73"/>
  <c r="F24" i="86"/>
  <c r="O68" i="57"/>
  <c r="K42" i="94"/>
  <c r="K31" i="84"/>
  <c r="M34" i="70"/>
  <c r="K76" i="40"/>
  <c r="K53" i="94"/>
  <c r="I45" i="60"/>
  <c r="N33" i="84"/>
  <c r="J29" i="56"/>
  <c r="M79" i="90"/>
  <c r="I30" i="93"/>
  <c r="H91" i="47"/>
  <c r="J24" i="89"/>
  <c r="N29" i="32"/>
  <c r="D57" i="46"/>
  <c r="E23" i="65"/>
  <c r="L94" i="73"/>
  <c r="M31" i="29"/>
  <c r="E98" i="46"/>
  <c r="O71" i="43"/>
  <c r="D91" i="94"/>
  <c r="F25" i="69"/>
  <c r="I70" i="26"/>
  <c r="I42" i="93"/>
  <c r="H42" i="64"/>
  <c r="K46" i="92"/>
  <c r="N12" i="84"/>
  <c r="G37" i="32"/>
  <c r="G80" i="94"/>
  <c r="K97" i="74"/>
  <c r="J70" i="68"/>
  <c r="L59" i="40"/>
  <c r="H8" i="52"/>
  <c r="G76" i="81"/>
  <c r="O26" i="61"/>
  <c r="H27" i="91"/>
  <c r="E17" i="57"/>
  <c r="D57" i="85"/>
  <c r="G21" i="48"/>
  <c r="O61" i="80"/>
  <c r="K29" i="36"/>
  <c r="D24" i="63"/>
  <c r="K88" i="91"/>
  <c r="D35" i="61"/>
  <c r="D67" i="65"/>
  <c r="M11" i="59"/>
  <c r="H80" i="61"/>
  <c r="I74" i="41"/>
  <c r="L76" i="81"/>
  <c r="K31" i="19"/>
  <c r="M14" i="72"/>
  <c r="N7" i="34"/>
  <c r="F55" i="62"/>
  <c r="D6" i="40"/>
  <c r="I27" i="86"/>
  <c r="M34"/>
  <c r="K50" i="26"/>
  <c r="H98" i="68"/>
  <c r="J95" i="61"/>
  <c r="O101" i="44"/>
  <c r="D36" i="87"/>
  <c r="G95" i="45"/>
  <c r="L45" i="92"/>
  <c r="H21" i="38"/>
  <c r="I107" i="60"/>
  <c r="O64" i="54"/>
  <c r="J32" i="62"/>
  <c r="H94" i="53"/>
  <c r="L38"/>
  <c r="G107" i="87"/>
  <c r="G15" i="81"/>
  <c r="G47" i="68"/>
  <c r="I83" i="74"/>
  <c r="O58" i="77"/>
  <c r="O104" i="44"/>
  <c r="O22" i="39"/>
  <c r="H64" i="92"/>
  <c r="K18" i="63"/>
  <c r="E61" i="67"/>
  <c r="M98" i="66"/>
  <c r="N5" i="86"/>
  <c r="G100" i="54"/>
  <c r="H14" i="52"/>
  <c r="K82" i="84"/>
  <c r="H50"/>
  <c r="I68" i="63"/>
  <c r="K56" i="55"/>
  <c r="D45" i="50"/>
  <c r="E100" i="58"/>
  <c r="O25" i="90"/>
  <c r="O80" i="44"/>
  <c r="I79" i="63"/>
  <c r="H37" i="19"/>
  <c r="J7" i="58"/>
  <c r="G30" i="67"/>
  <c r="L5" i="56"/>
  <c r="M68" i="91"/>
  <c r="N53" i="65"/>
  <c r="O34" i="32"/>
  <c r="L35" i="94"/>
  <c r="J58" i="74"/>
  <c r="M91" i="68"/>
  <c r="E40" i="44"/>
  <c r="E64" i="35"/>
  <c r="K42" i="80"/>
  <c r="H45" i="52"/>
  <c r="M7" i="26"/>
  <c r="M34" i="64"/>
  <c r="G70" i="54"/>
  <c r="E23" i="49"/>
  <c r="J98" i="81"/>
  <c r="N79" i="27"/>
  <c r="D95" i="92"/>
  <c r="N76" i="72"/>
  <c r="M86" i="46"/>
  <c r="M15" i="84"/>
  <c r="E50" i="59"/>
  <c r="N61" i="68"/>
  <c r="I26" i="30"/>
  <c r="E31" i="84"/>
  <c r="I46" i="29"/>
  <c r="E22" i="77"/>
  <c r="E82" i="35"/>
  <c r="L100" i="75"/>
  <c r="M97" i="72"/>
  <c r="L74" i="84"/>
  <c r="M17" i="54"/>
  <c r="G9" i="68"/>
  <c r="I83" i="82"/>
  <c r="F48" i="54"/>
  <c r="M41" i="36"/>
  <c r="E68" i="70"/>
  <c r="G42"/>
  <c r="D88" i="33"/>
  <c r="O58" i="36"/>
  <c r="H73" i="64"/>
  <c r="K95" i="54"/>
  <c r="F74" i="33"/>
  <c r="F77" i="79"/>
  <c r="D74" i="55"/>
  <c r="H4" i="48"/>
  <c r="I71" i="67"/>
  <c r="D106" i="40"/>
  <c r="L86" i="38"/>
  <c r="L91" i="67"/>
  <c r="H29" i="83"/>
  <c r="J6" i="51"/>
  <c r="J8" i="35"/>
  <c r="J100" i="33"/>
  <c r="O20" i="75"/>
  <c r="H8" i="60"/>
  <c r="K20" i="89"/>
  <c r="I23" i="70"/>
  <c r="L7" i="40"/>
  <c r="D64" i="73"/>
  <c r="N38" i="56"/>
  <c r="G67" i="47"/>
  <c r="I20" i="56"/>
  <c r="G35" i="87"/>
  <c r="D70" i="65"/>
  <c r="H86" i="46"/>
  <c r="D20" i="74"/>
  <c r="J103" i="75"/>
  <c r="M13" i="47"/>
  <c r="M94" i="86"/>
  <c r="J12" i="91"/>
  <c r="L74" i="38"/>
  <c r="K74" i="49"/>
  <c r="G31" i="35"/>
  <c r="D71" i="61"/>
  <c r="J35" i="79"/>
  <c r="O39" i="84"/>
  <c r="O12" i="92"/>
  <c r="K77" i="65"/>
  <c r="G22" i="38"/>
  <c r="K10" i="70"/>
  <c r="M7" i="76"/>
  <c r="K65" i="49"/>
  <c r="O106" i="39"/>
  <c r="F33" i="40"/>
  <c r="F23" i="32"/>
  <c r="G13" i="59"/>
  <c r="K106" i="54"/>
  <c r="F85" i="47"/>
  <c r="J70" i="65"/>
  <c r="K57" i="67"/>
  <c r="H15" i="58"/>
  <c r="E52" i="34"/>
  <c r="M77" i="35"/>
  <c r="E17" i="59"/>
  <c r="M53" i="46"/>
  <c r="F25" i="78"/>
  <c r="L5" i="26"/>
  <c r="K82" i="53"/>
  <c r="G94" i="45"/>
  <c r="D88" i="62"/>
  <c r="M14" i="75"/>
  <c r="E29" i="53"/>
  <c r="I44" i="68"/>
  <c r="CA55" i="3"/>
  <c r="I23" i="72"/>
  <c r="L4" i="39"/>
  <c r="G26" i="87"/>
  <c r="E57" i="44"/>
  <c r="E85" i="75"/>
  <c r="L8" i="57"/>
  <c r="I18" i="45"/>
  <c r="H67" i="68"/>
  <c r="I76" i="77"/>
  <c r="F11" i="50"/>
  <c r="L77" i="44"/>
  <c r="F76" i="73"/>
  <c r="L107" i="27"/>
  <c r="K58" i="57"/>
  <c r="J33" i="79"/>
  <c r="G20" i="55"/>
  <c r="K68" i="19"/>
  <c r="F49" i="60"/>
  <c r="E77" i="68"/>
  <c r="E62" i="41"/>
  <c r="F30" i="77"/>
  <c r="G53" i="78"/>
  <c r="L19" i="57"/>
  <c r="L15" i="69"/>
  <c r="I62" i="83"/>
  <c r="J33" i="63"/>
  <c r="F45" i="52"/>
  <c r="O85" i="33"/>
  <c r="M18" i="90"/>
  <c r="F27" i="32"/>
  <c r="E91" i="36"/>
  <c r="I85" i="56"/>
  <c r="E18" i="66"/>
  <c r="K68" i="46"/>
  <c r="E70" i="87"/>
  <c r="K29" i="71"/>
  <c r="D4" i="84"/>
  <c r="H53" i="29"/>
  <c r="O13" i="43"/>
  <c r="N8" i="91"/>
  <c r="G37" i="26"/>
  <c r="N42" i="67"/>
  <c r="J65" i="66"/>
  <c r="D18" i="67"/>
  <c r="E106" i="47"/>
  <c r="I27" i="27"/>
  <c r="J16" i="34"/>
  <c r="O54" i="38"/>
  <c r="J68" i="26"/>
  <c r="M39" i="53"/>
  <c r="L5" i="75"/>
  <c r="I49" i="89"/>
  <c r="G54" i="68"/>
  <c r="F101" i="29"/>
  <c r="O55" i="78"/>
  <c r="M51" i="80"/>
  <c r="L59" i="46"/>
  <c r="N48" i="67"/>
  <c r="I15" i="93"/>
  <c r="N89" i="86"/>
  <c r="K7" i="93"/>
  <c r="K33" i="89"/>
  <c r="G19" i="55"/>
  <c r="K23" i="89"/>
  <c r="H20" i="50"/>
  <c r="I76" i="61"/>
  <c r="F94" i="34"/>
  <c r="I107" i="48"/>
  <c r="F92" i="35"/>
  <c r="K38" i="22"/>
  <c r="L24" i="61"/>
  <c r="F15" i="47"/>
  <c r="F73" i="58"/>
  <c r="O73" i="48"/>
  <c r="J68" i="70"/>
  <c r="D94" i="67"/>
  <c r="L16" i="33"/>
  <c r="O43" i="86"/>
  <c r="E55" i="70"/>
  <c r="D106" i="38"/>
  <c r="H56" i="86"/>
  <c r="N42" i="72"/>
  <c r="I89" i="35"/>
  <c r="D21" i="79"/>
  <c r="N88" i="92"/>
  <c r="L7" i="60"/>
  <c r="K104" i="27"/>
  <c r="F10" i="46"/>
  <c r="J18" i="30"/>
  <c r="H20" i="82"/>
  <c r="K73" i="56"/>
  <c r="L82" i="33"/>
  <c r="I11" i="55"/>
  <c r="N31" i="64"/>
  <c r="D76" i="84"/>
  <c r="N77" i="59"/>
  <c r="H86" i="60"/>
  <c r="D32" i="63"/>
  <c r="K23" i="40"/>
  <c r="G76" i="57"/>
  <c r="N82" i="74"/>
  <c r="J9"/>
  <c r="H82" i="50"/>
  <c r="I57" i="30"/>
  <c r="N95" i="68"/>
  <c r="H6" i="41"/>
  <c r="D52" i="90"/>
  <c r="M100" i="53"/>
  <c r="O54" i="57"/>
  <c r="E56" i="65"/>
  <c r="N39" i="61"/>
  <c r="N11" i="53"/>
  <c r="O39" i="58"/>
  <c r="N95" i="71"/>
  <c r="K5" i="32"/>
  <c r="M49" i="82"/>
  <c r="N91" i="19"/>
  <c r="J49" i="53"/>
  <c r="F17" i="32"/>
  <c r="J107" i="72"/>
  <c r="D34" i="71"/>
  <c r="E45" i="45"/>
  <c r="J41" i="87"/>
  <c r="F9" i="33"/>
  <c r="E25" i="46"/>
  <c r="M101" i="91"/>
  <c r="E103" i="50"/>
  <c r="J29" i="86"/>
  <c r="K45" i="58"/>
  <c r="O6" i="61"/>
  <c r="N31" i="82"/>
  <c r="F15" i="27"/>
  <c r="L35" i="43"/>
  <c r="J89" i="49"/>
  <c r="L46" i="74"/>
  <c r="O35" i="19"/>
  <c r="I27" i="34"/>
  <c r="G30" i="69"/>
  <c r="D19" i="33"/>
  <c r="D54" i="75"/>
  <c r="F19" i="74"/>
  <c r="J22" i="66"/>
  <c r="K62" i="51"/>
  <c r="F36" i="46"/>
  <c r="E19" i="94"/>
  <c r="F41" i="50"/>
  <c r="D36" i="63"/>
  <c r="E51" i="52"/>
  <c r="K54" i="41"/>
  <c r="H37" i="68"/>
  <c r="G10" i="34"/>
  <c r="F56" i="58"/>
  <c r="N55" i="46"/>
  <c r="N98" i="48"/>
  <c r="H68" i="67"/>
  <c r="N59" i="39"/>
  <c r="H35" i="53"/>
  <c r="D13" i="64"/>
  <c r="L98" i="77"/>
  <c r="O38" i="68"/>
  <c r="E71" i="85"/>
  <c r="O100" i="36"/>
  <c r="M62" i="47"/>
  <c r="D47" i="72"/>
  <c r="E58" i="69"/>
  <c r="O106" i="67"/>
  <c r="F40" i="71"/>
  <c r="D95" i="43"/>
  <c r="E70" i="71"/>
  <c r="D65" i="67"/>
  <c r="J46" i="34"/>
  <c r="O51" i="74"/>
  <c r="L42" i="73"/>
  <c r="D76" i="87"/>
  <c r="D7" i="29"/>
  <c r="N7" i="33"/>
  <c r="I29" i="35"/>
  <c r="CA27" i="3"/>
  <c r="F52" i="35"/>
  <c r="D50" i="33"/>
  <c r="G70" i="44"/>
  <c r="E65" i="39"/>
  <c r="L11" i="57"/>
  <c r="M47" i="39"/>
  <c r="N76" i="78"/>
  <c r="O62" i="66"/>
  <c r="J54" i="93"/>
  <c r="N35" i="54"/>
  <c r="I4" i="40"/>
  <c r="N54" i="76"/>
  <c r="G68" i="74"/>
  <c r="E43" i="54"/>
  <c r="J101" i="87"/>
  <c r="K13"/>
  <c r="G5" i="71"/>
  <c r="L86" i="77"/>
  <c r="E5" i="62"/>
  <c r="K33" i="56"/>
  <c r="L62" i="75"/>
  <c r="F7" i="84"/>
  <c r="D50" i="64"/>
  <c r="L24" i="67"/>
  <c r="H80" i="71"/>
  <c r="D68" i="72"/>
  <c r="E42" i="94"/>
  <c r="H43" i="30"/>
  <c r="M19" i="76"/>
  <c r="E41" i="46"/>
  <c r="G86" i="71"/>
  <c r="K25" i="32"/>
  <c r="F37" i="33"/>
  <c r="D23" i="82"/>
  <c r="E64" i="59"/>
  <c r="O7" i="57"/>
  <c r="N67" i="92"/>
  <c r="J23" i="94"/>
  <c r="J4" i="39"/>
  <c r="M53" i="89"/>
  <c r="O5" i="34"/>
  <c r="E31" i="51"/>
  <c r="H51" i="84"/>
  <c r="M95" i="64"/>
  <c r="D30" i="42"/>
  <c r="G98" i="38"/>
  <c r="N18" i="32"/>
  <c r="I23" i="46"/>
  <c r="O54" i="48"/>
  <c r="E83" i="47"/>
  <c r="H74" i="56"/>
  <c r="E43" i="80"/>
  <c r="D36" i="61"/>
  <c r="H83" i="66"/>
  <c r="D71" i="36"/>
  <c r="I33" i="54"/>
  <c r="J30" i="19"/>
  <c r="F37" i="60"/>
  <c r="I56" i="91"/>
  <c r="I15" i="61"/>
  <c r="K19" i="76"/>
  <c r="J107" i="44"/>
  <c r="J11" i="26"/>
  <c r="D25" i="48"/>
  <c r="F20" i="72"/>
  <c r="F76" i="84"/>
  <c r="D52" i="65"/>
  <c r="D41" i="25"/>
  <c r="I89" i="72"/>
  <c r="L11" i="33"/>
  <c r="F51" i="78"/>
  <c r="L17"/>
  <c r="I65" i="79"/>
  <c r="E67" i="72"/>
  <c r="N91" i="71"/>
  <c r="E19" i="75"/>
  <c r="M39" i="74"/>
  <c r="K47" i="40"/>
  <c r="N47" i="92"/>
  <c r="K6"/>
  <c r="N53" i="69"/>
  <c r="M28" i="82"/>
  <c r="M25"/>
  <c r="K27" i="75"/>
  <c r="M106" i="58"/>
  <c r="K34" i="80"/>
  <c r="H103" i="53"/>
  <c r="E51" i="78"/>
  <c r="H47" i="25"/>
  <c r="L68" i="38"/>
  <c r="E22" i="48"/>
  <c r="M95" i="63"/>
  <c r="L42" i="77"/>
  <c r="J95"/>
  <c r="L15" i="86"/>
  <c r="D44" i="44"/>
  <c r="G12" i="53"/>
  <c r="K14" i="35"/>
  <c r="J4" i="53"/>
  <c r="E34" i="38"/>
  <c r="D58" i="40"/>
  <c r="I73" i="66"/>
  <c r="M48" i="27"/>
  <c r="O107" i="78"/>
  <c r="D39" i="56"/>
  <c r="N27" i="80"/>
  <c r="F43" i="19"/>
  <c r="L5" i="43"/>
  <c r="H61" i="90"/>
  <c r="K49" i="35"/>
  <c r="O53" i="64"/>
  <c r="K76" i="90"/>
  <c r="E94" i="84"/>
  <c r="G101" i="92"/>
  <c r="D59" i="47"/>
  <c r="N8" i="73"/>
  <c r="I94" i="91"/>
  <c r="M25" i="19"/>
  <c r="G71" i="35"/>
  <c r="N27" i="78"/>
  <c r="N47" i="46"/>
  <c r="I86" i="36"/>
  <c r="D37" i="73"/>
  <c r="G16" i="91"/>
  <c r="I71" i="32"/>
  <c r="F68" i="59"/>
  <c r="L85" i="57"/>
  <c r="D42" i="93"/>
  <c r="N18" i="58"/>
  <c r="D76" i="78"/>
  <c r="G106" i="85"/>
  <c r="G39" i="74"/>
  <c r="O85" i="53"/>
  <c r="O20" i="29"/>
  <c r="N7" i="80"/>
  <c r="J57" i="53"/>
  <c r="D53" i="46"/>
  <c r="I67" i="72"/>
  <c r="H80" i="87"/>
  <c r="K107" i="70"/>
  <c r="K17" i="56"/>
  <c r="N30" i="93"/>
  <c r="H43" i="33"/>
  <c r="D56" i="67"/>
  <c r="H56" i="38"/>
  <c r="K62" i="41"/>
  <c r="O76" i="93"/>
  <c r="E77" i="32"/>
  <c r="K98" i="41"/>
  <c r="I98" i="68"/>
  <c r="L49" i="92"/>
  <c r="K40" i="53"/>
  <c r="F98" i="54"/>
  <c r="M101" i="32"/>
  <c r="M62" i="71"/>
  <c r="M85" i="54"/>
  <c r="G76" i="72"/>
  <c r="M40" i="66"/>
  <c r="M97" i="92"/>
  <c r="N37" i="61"/>
  <c r="F13" i="69"/>
  <c r="E64" i="83"/>
  <c r="M52" i="40"/>
  <c r="G18" i="93"/>
  <c r="H21" i="57"/>
  <c r="O50" i="47"/>
  <c r="O29" i="40"/>
  <c r="H12" i="67"/>
  <c r="D15" i="90"/>
  <c r="G40" i="29"/>
  <c r="I48" i="83"/>
  <c r="N30" i="86"/>
  <c r="O88" i="56"/>
  <c r="I23" i="34"/>
  <c r="N98" i="91"/>
  <c r="M56" i="49"/>
  <c r="M33" i="77"/>
  <c r="N38" i="65"/>
  <c r="O56" i="19"/>
  <c r="I89" i="53"/>
  <c r="E35" i="36"/>
  <c r="I8" i="70"/>
  <c r="D35" i="63"/>
  <c r="D52" i="66"/>
  <c r="G47" i="86"/>
  <c r="G20" i="49"/>
  <c r="F64" i="33"/>
  <c r="O27" i="44"/>
  <c r="K100" i="63"/>
  <c r="K98" i="27"/>
  <c r="H25" i="93"/>
  <c r="J27" i="32"/>
  <c r="N15" i="87"/>
  <c r="E36" i="78"/>
  <c r="O15" i="39"/>
  <c r="D4" i="53"/>
  <c r="M27" i="25"/>
  <c r="H38" i="63"/>
  <c r="L29" i="39"/>
  <c r="G30" i="48"/>
  <c r="F104" i="65"/>
  <c r="D95" i="71"/>
  <c r="E106" i="51"/>
  <c r="N23" i="65"/>
  <c r="J23" i="50"/>
  <c r="E79" i="47"/>
  <c r="L74" i="70"/>
  <c r="O13" i="92"/>
  <c r="O94" i="32"/>
  <c r="G12" i="25"/>
  <c r="D11" i="44"/>
  <c r="G97" i="67"/>
  <c r="F80" i="78"/>
  <c r="E23" i="60"/>
  <c r="O25" i="54"/>
  <c r="H51" i="80"/>
  <c r="E56" i="59"/>
  <c r="N14" i="29"/>
  <c r="D9" i="50"/>
  <c r="F77" i="44"/>
  <c r="D64" i="38"/>
  <c r="O98" i="54"/>
  <c r="H57" i="66"/>
  <c r="H15" i="46"/>
  <c r="M82" i="80"/>
  <c r="D17" i="92"/>
  <c r="D82" i="43"/>
  <c r="K94" i="51"/>
  <c r="J13" i="68"/>
  <c r="O37" i="63"/>
  <c r="I62" i="45"/>
  <c r="O6" i="38"/>
  <c r="CK39" i="3"/>
  <c r="H10" i="53"/>
  <c r="N28" i="47"/>
  <c r="O89"/>
  <c r="I6" i="62"/>
  <c r="M41" i="30"/>
  <c r="L83" i="38"/>
  <c r="K79" i="75"/>
  <c r="O92" i="34"/>
  <c r="I94" i="48"/>
  <c r="O33" i="45"/>
  <c r="H8" i="55"/>
  <c r="H44" i="91"/>
  <c r="D53" i="77"/>
  <c r="J31" i="43"/>
  <c r="F97" i="27"/>
  <c r="H11" i="56"/>
  <c r="J92" i="45"/>
  <c r="N25" i="43"/>
  <c r="E4" i="60"/>
  <c r="N100" i="78"/>
  <c r="J42" i="92"/>
  <c r="H55" i="79"/>
  <c r="E21" i="41"/>
  <c r="J31" i="46"/>
  <c r="I24" i="38"/>
  <c r="K33" i="61"/>
  <c r="E6" i="74"/>
  <c r="D9" i="63"/>
  <c r="G34" i="30"/>
  <c r="F19" i="39"/>
  <c r="N101" i="78"/>
  <c r="H29" i="86"/>
  <c r="M106" i="55"/>
  <c r="I22" i="81"/>
  <c r="J29" i="61"/>
  <c r="K100" i="39"/>
  <c r="L5" i="58"/>
  <c r="D107" i="72"/>
  <c r="F40" i="89"/>
  <c r="K59" i="41"/>
  <c r="D34" i="93"/>
  <c r="J24" i="35"/>
  <c r="L35" i="73"/>
  <c r="E29" i="89"/>
  <c r="G18" i="36"/>
  <c r="D67"/>
  <c r="F15" i="81"/>
  <c r="D50" i="25"/>
  <c r="K94" i="27"/>
  <c r="J79" i="92"/>
  <c r="L68" i="84"/>
  <c r="I56" i="25"/>
  <c r="E107" i="77"/>
  <c r="F76" i="75"/>
  <c r="J55" i="27"/>
  <c r="O27" i="89"/>
  <c r="J74" i="36"/>
  <c r="N89" i="62"/>
  <c r="F77" i="45"/>
  <c r="G54" i="26"/>
  <c r="E103" i="27"/>
  <c r="D54" i="64"/>
  <c r="H100" i="68"/>
  <c r="F83" i="55"/>
  <c r="N44" i="40"/>
  <c r="K41" i="54"/>
  <c r="J29" i="94"/>
  <c r="G47" i="58"/>
  <c r="H8" i="72"/>
  <c r="L79" i="36"/>
  <c r="O80" i="49"/>
  <c r="I45" i="40"/>
  <c r="N47" i="71"/>
  <c r="E11" i="87"/>
  <c r="L46" i="63"/>
  <c r="F16" i="43"/>
  <c r="K79" i="81"/>
  <c r="M64" i="54"/>
  <c r="J85" i="53"/>
  <c r="M83" i="33"/>
  <c r="O83" i="87"/>
  <c r="O70" i="40"/>
  <c r="D14" i="34"/>
  <c r="O57" i="38"/>
  <c r="I77" i="35"/>
  <c r="M58" i="80"/>
  <c r="J42" i="56"/>
  <c r="N103" i="54"/>
  <c r="D62" i="55"/>
  <c r="E29" i="92"/>
  <c r="CI48" i="3"/>
  <c r="K5" i="91"/>
  <c r="N10" i="41"/>
  <c r="J7" i="87"/>
  <c r="D103" i="74"/>
  <c r="G103" i="91"/>
  <c r="G65" i="52"/>
  <c r="D83" i="57"/>
  <c r="O27" i="25"/>
  <c r="K21" i="60"/>
  <c r="J4" i="68"/>
  <c r="G67" i="40"/>
  <c r="K80" i="70"/>
  <c r="K89" i="57"/>
  <c r="H95" i="33"/>
  <c r="E33" i="77"/>
  <c r="I11" i="85"/>
  <c r="F61" i="49"/>
  <c r="D64" i="63"/>
  <c r="F83" i="49"/>
  <c r="J6"/>
  <c r="E100" i="62"/>
  <c r="F107" i="57"/>
  <c r="F104" i="72"/>
  <c r="G95" i="84"/>
  <c r="L58" i="30"/>
  <c r="K74" i="44"/>
  <c r="F47" i="82"/>
  <c r="D21" i="61"/>
  <c r="J62" i="30"/>
  <c r="F30" i="66"/>
  <c r="I10" i="82"/>
  <c r="L30" i="26"/>
  <c r="H67" i="64"/>
  <c r="N30" i="63"/>
  <c r="D24" i="87"/>
  <c r="I6" i="43"/>
  <c r="CJ37" i="3"/>
  <c r="F51" i="64"/>
  <c r="O14" i="67"/>
  <c r="M29" i="53"/>
  <c r="J61" i="39"/>
  <c r="M19" i="30"/>
  <c r="N59" i="25"/>
  <c r="E11" i="74"/>
  <c r="CD55" i="3"/>
  <c r="N37" i="73"/>
  <c r="J38" i="62"/>
  <c r="K34" i="71"/>
  <c r="E77" i="48"/>
  <c r="J59" i="83"/>
  <c r="G31" i="91"/>
  <c r="L64" i="51"/>
  <c r="J48" i="45"/>
  <c r="N89" i="67"/>
  <c r="L38" i="83"/>
  <c r="E76" i="85"/>
  <c r="O24" i="41"/>
  <c r="J71" i="57"/>
  <c r="F79" i="84"/>
  <c r="J28" i="19"/>
  <c r="I25" i="30"/>
  <c r="K39" i="43"/>
  <c r="H56" i="48"/>
  <c r="E8" i="50"/>
  <c r="N50" i="70"/>
  <c r="I39" i="25"/>
  <c r="L104" i="75"/>
  <c r="G91"/>
  <c r="H20" i="33"/>
  <c r="K20" i="71"/>
  <c r="N71" i="27"/>
  <c r="L80" i="49"/>
  <c r="H56" i="66"/>
  <c r="F44"/>
  <c r="D38" i="69"/>
  <c r="O92" i="89"/>
  <c r="K82" i="36"/>
  <c r="I43" i="83"/>
  <c r="G82" i="71"/>
  <c r="H104" i="52"/>
  <c r="O28" i="62"/>
  <c r="G92" i="78"/>
  <c r="D103" i="80"/>
  <c r="M80" i="74"/>
  <c r="J64" i="80"/>
  <c r="I107" i="72"/>
  <c r="CH32" i="3"/>
  <c r="N22" i="43"/>
  <c r="L37" i="82"/>
  <c r="O106" i="60"/>
  <c r="L11" i="40"/>
  <c r="G21" i="58"/>
  <c r="G48" i="92"/>
  <c r="N106" i="73"/>
  <c r="I12" i="83"/>
  <c r="J74" i="44"/>
  <c r="M53" i="34"/>
  <c r="N27" i="19"/>
  <c r="N74" i="78"/>
  <c r="I16" i="57"/>
  <c r="K107" i="51"/>
  <c r="J54" i="47"/>
  <c r="M73" i="92"/>
  <c r="G58" i="56"/>
  <c r="O67" i="59"/>
  <c r="E44" i="77"/>
  <c r="M39" i="61"/>
  <c r="H17" i="26"/>
  <c r="L22" i="76"/>
  <c r="E62" i="43"/>
  <c r="G100" i="49"/>
  <c r="J19" i="39"/>
  <c r="F95" i="72"/>
  <c r="J107" i="76"/>
  <c r="I86" i="80"/>
  <c r="I104" i="59"/>
  <c r="K16" i="51"/>
  <c r="O62" i="39"/>
  <c r="I28" i="41"/>
  <c r="K70" i="68"/>
  <c r="K36"/>
  <c r="H92" i="56"/>
  <c r="N50" i="74"/>
  <c r="H74" i="69"/>
  <c r="K64" i="30"/>
  <c r="D36" i="57"/>
  <c r="O56" i="94"/>
  <c r="N4" i="53"/>
  <c r="I12" i="49"/>
  <c r="G47" i="72"/>
  <c r="N21" i="41"/>
  <c r="K89" i="62"/>
  <c r="F30" i="89"/>
  <c r="M65" i="62"/>
  <c r="H14" i="67"/>
  <c r="G80" i="53"/>
  <c r="I70" i="70"/>
  <c r="D104" i="60"/>
  <c r="I37" i="83"/>
  <c r="E82" i="63"/>
  <c r="N12" i="68"/>
  <c r="D28"/>
  <c r="K21" i="34"/>
  <c r="H33" i="73"/>
  <c r="K83" i="66"/>
  <c r="J28" i="30"/>
  <c r="F68" i="36"/>
  <c r="M101" i="90"/>
  <c r="G83" i="85"/>
  <c r="H32" i="52"/>
  <c r="H23" i="61"/>
  <c r="I44" i="66"/>
  <c r="K38" i="39"/>
  <c r="L106" i="36"/>
  <c r="K22" i="61"/>
  <c r="J83" i="83"/>
  <c r="K23" i="56"/>
  <c r="H35"/>
  <c r="K54" i="76"/>
  <c r="N95" i="72"/>
  <c r="N32" i="82"/>
  <c r="J7" i="44"/>
  <c r="H50" i="34"/>
  <c r="L11" i="43"/>
  <c r="H5" i="51"/>
  <c r="H18" i="30"/>
  <c r="O104" i="81"/>
  <c r="L68" i="72"/>
  <c r="M71" i="78"/>
  <c r="N26" i="44"/>
  <c r="O29" i="29"/>
  <c r="I23" i="57"/>
  <c r="M97" i="29"/>
  <c r="H22" i="27"/>
  <c r="N6" i="54"/>
  <c r="I67" i="60"/>
  <c r="D32" i="91"/>
  <c r="G64" i="58"/>
  <c r="H106" i="52"/>
  <c r="N70" i="70"/>
  <c r="K47" i="27"/>
  <c r="D11" i="59"/>
  <c r="K9" i="76"/>
  <c r="G106" i="36"/>
  <c r="D71" i="25"/>
  <c r="G19" i="33"/>
  <c r="E8" i="68"/>
  <c r="K34" i="39"/>
  <c r="I33" i="57"/>
  <c r="I46" i="49"/>
  <c r="J100" i="55"/>
  <c r="G70" i="77"/>
  <c r="H68" i="33"/>
  <c r="O29" i="59"/>
  <c r="I68" i="26"/>
  <c r="H12" i="55"/>
  <c r="D73" i="69"/>
  <c r="D74" i="38"/>
  <c r="F74" i="75"/>
  <c r="O57" i="45"/>
  <c r="N53" i="90"/>
  <c r="J92" i="43"/>
  <c r="O89" i="32"/>
  <c r="K12" i="73"/>
  <c r="J45" i="94"/>
  <c r="F33" i="51"/>
  <c r="N44" i="35"/>
  <c r="J11" i="38"/>
  <c r="H9" i="52"/>
  <c r="D56" i="75"/>
  <c r="D49" i="51"/>
  <c r="E25" i="57"/>
  <c r="L86" i="66"/>
  <c r="I73" i="68"/>
  <c r="E55" i="62"/>
  <c r="J23" i="73"/>
  <c r="I85" i="36"/>
  <c r="I91" i="67"/>
  <c r="G94" i="68"/>
  <c r="G85" i="62"/>
  <c r="H38" i="79"/>
  <c r="I89" i="56"/>
  <c r="J107" i="33"/>
  <c r="M104" i="56"/>
  <c r="O36" i="53"/>
  <c r="J9" i="41"/>
  <c r="G76" i="46"/>
  <c r="O74" i="82"/>
  <c r="H5" i="45"/>
  <c r="G86" i="64"/>
  <c r="H82" i="51"/>
  <c r="E68" i="62"/>
  <c r="J50" i="46"/>
  <c r="H20" i="71"/>
  <c r="E51" i="60"/>
  <c r="M40" i="51"/>
  <c r="L49" i="72"/>
  <c r="I19" i="75"/>
  <c r="N82" i="86"/>
  <c r="J6" i="89"/>
  <c r="N104"/>
  <c r="E71" i="71"/>
  <c r="D106" i="61"/>
  <c r="E16" i="68"/>
  <c r="D101" i="29"/>
  <c r="M10" i="68"/>
  <c r="L38" i="92"/>
  <c r="F26" i="86"/>
  <c r="E40" i="52"/>
  <c r="G55" i="41"/>
  <c r="F12" i="86"/>
  <c r="G103" i="57"/>
  <c r="I94" i="41"/>
  <c r="H54" i="82"/>
  <c r="G101" i="68"/>
  <c r="J28" i="86"/>
  <c r="I103" i="72"/>
  <c r="D50" i="57"/>
  <c r="E71" i="55"/>
  <c r="L65"/>
  <c r="O86" i="74"/>
  <c r="I38" i="48"/>
  <c r="N106" i="59"/>
  <c r="O77" i="56"/>
  <c r="D98" i="89"/>
  <c r="O62" i="40"/>
  <c r="I51" i="48"/>
  <c r="J86" i="34"/>
  <c r="D56" i="47"/>
  <c r="H80" i="93"/>
  <c r="H64" i="72"/>
  <c r="I58" i="75"/>
  <c r="F37" i="25"/>
  <c r="N94" i="39"/>
  <c r="N13" i="55"/>
  <c r="N33" i="40"/>
  <c r="N74" i="36"/>
  <c r="O23" i="86"/>
  <c r="G23" i="82"/>
  <c r="D58" i="47"/>
  <c r="CG78" i="3"/>
  <c r="H4" i="38"/>
  <c r="F62" i="40"/>
  <c r="G65" i="90"/>
  <c r="F17" i="64"/>
  <c r="O33" i="26"/>
  <c r="D27" i="78"/>
  <c r="K83" i="32"/>
  <c r="H37" i="26"/>
  <c r="I7" i="64"/>
  <c r="M49" i="67"/>
  <c r="E33" i="43"/>
  <c r="N91" i="46"/>
  <c r="I8" i="84"/>
  <c r="D88" i="64"/>
  <c r="D70" i="57"/>
  <c r="K55" i="67"/>
  <c r="L40" i="87"/>
  <c r="F62" i="75"/>
  <c r="G7" i="63"/>
  <c r="K68" i="48"/>
  <c r="L36" i="39"/>
  <c r="G21" i="65"/>
  <c r="H41" i="30"/>
  <c r="L43" i="78"/>
  <c r="H19" i="65"/>
  <c r="K92" i="82"/>
  <c r="E32" i="55"/>
  <c r="L45" i="94"/>
  <c r="E107" i="53"/>
  <c r="G89" i="52"/>
  <c r="I12" i="67"/>
  <c r="CI30" i="3"/>
  <c r="N48" i="87"/>
  <c r="N85" i="91"/>
  <c r="H57" i="49"/>
  <c r="D92" i="94"/>
  <c r="I39" i="73"/>
  <c r="J91" i="49"/>
  <c r="D13" i="66"/>
  <c r="O95" i="82"/>
  <c r="I17" i="47"/>
  <c r="O25" i="29"/>
  <c r="O58" i="63"/>
  <c r="N82" i="61"/>
  <c r="M83" i="30"/>
  <c r="F19" i="46"/>
  <c r="L104" i="59"/>
  <c r="J45" i="40"/>
  <c r="J14" i="62"/>
  <c r="H29" i="76"/>
  <c r="M42" i="62"/>
  <c r="L14" i="47"/>
  <c r="F29" i="62"/>
  <c r="K56" i="61"/>
  <c r="K15" i="94"/>
  <c r="L32" i="30"/>
  <c r="L44" i="73"/>
  <c r="N46" i="39"/>
  <c r="J33" i="33"/>
  <c r="G36" i="93"/>
  <c r="O82" i="29"/>
  <c r="G18" i="53"/>
  <c r="K67" i="36"/>
  <c r="E67" i="93"/>
  <c r="O24" i="82"/>
  <c r="L4" i="46"/>
  <c r="M77" i="41"/>
  <c r="G100" i="70"/>
  <c r="E41" i="54"/>
  <c r="E13" i="90"/>
  <c r="N94" i="53"/>
  <c r="G65" i="93"/>
  <c r="M76" i="80"/>
  <c r="H92" i="38"/>
  <c r="D65" i="73"/>
  <c r="L71" i="76"/>
  <c r="N28" i="78"/>
  <c r="M56" i="87"/>
  <c r="J38" i="36"/>
  <c r="F52" i="91"/>
  <c r="F40" i="65"/>
  <c r="O77" i="91"/>
  <c r="I29" i="25"/>
  <c r="F56" i="69"/>
  <c r="D6" i="92"/>
  <c r="K10" i="51"/>
  <c r="O14" i="54"/>
  <c r="M48" i="83"/>
  <c r="I88" i="43"/>
  <c r="I80" i="30"/>
  <c r="O15" i="70"/>
  <c r="D34" i="38"/>
  <c r="H4" i="62"/>
  <c r="N40" i="61"/>
  <c r="D22"/>
  <c r="D37" i="30"/>
  <c r="N82" i="59"/>
  <c r="D9" i="81"/>
  <c r="D47" i="94"/>
  <c r="I76" i="89"/>
  <c r="H70" i="67"/>
  <c r="E67" i="76"/>
  <c r="G44" i="73"/>
  <c r="D52" i="60"/>
  <c r="CJ28" i="3"/>
  <c r="K22" i="73"/>
  <c r="E94" i="81"/>
  <c r="K56" i="39"/>
  <c r="N36" i="69"/>
  <c r="I25" i="74"/>
  <c r="O91" i="62"/>
  <c r="D28" i="52"/>
  <c r="G49" i="36"/>
  <c r="E38" i="26"/>
  <c r="J29" i="67"/>
  <c r="O73" i="66"/>
  <c r="F7" i="41"/>
  <c r="F103" i="48"/>
  <c r="O33" i="76"/>
  <c r="E83" i="89"/>
  <c r="E30" i="42"/>
  <c r="N30" i="90"/>
  <c r="E91" i="58"/>
  <c r="I39" i="60"/>
  <c r="H107" i="39"/>
  <c r="H27" i="45"/>
  <c r="M70" i="41"/>
  <c r="I41" i="53"/>
  <c r="U33" i="96"/>
  <c r="N32" i="53"/>
  <c r="I20"/>
  <c r="H83" i="26"/>
  <c r="K25" i="39"/>
  <c r="I10" i="36"/>
  <c r="H9" i="30"/>
  <c r="L56" i="48"/>
  <c r="F46" i="59"/>
  <c r="N25" i="38"/>
  <c r="N106" i="94"/>
  <c r="M73" i="71"/>
  <c r="O7" i="90"/>
  <c r="F45" i="89"/>
  <c r="H30" i="67"/>
  <c r="N73" i="93"/>
  <c r="L48" i="35"/>
  <c r="N73" i="43"/>
  <c r="O101" i="82"/>
  <c r="E80" i="66"/>
  <c r="N14" i="89"/>
  <c r="I36" i="77"/>
  <c r="F104" i="45"/>
  <c r="H95" i="72"/>
  <c r="L42" i="58"/>
  <c r="E8" i="57"/>
  <c r="O14" i="60"/>
  <c r="M27" i="45"/>
  <c r="D106" i="25"/>
  <c r="J94" i="41"/>
  <c r="G19" i="52"/>
  <c r="L97" i="87"/>
  <c r="F80" i="94"/>
  <c r="N13" i="66"/>
  <c r="I95" i="74"/>
  <c r="H100" i="62"/>
  <c r="F29" i="29"/>
  <c r="E32" i="90"/>
  <c r="H28" i="35"/>
  <c r="G64" i="61"/>
  <c r="E77" i="19"/>
  <c r="K54" i="58"/>
  <c r="D77" i="32"/>
  <c r="F82" i="45"/>
  <c r="K106" i="65"/>
  <c r="E94" i="74"/>
  <c r="J61" i="53"/>
  <c r="O39" i="93"/>
  <c r="E49" i="89"/>
  <c r="CJ40" i="3"/>
  <c r="G103" i="72"/>
  <c r="O92" i="33"/>
  <c r="K58" i="39"/>
  <c r="I44" i="26"/>
  <c r="O52" i="75"/>
  <c r="K18" i="36"/>
  <c r="H22" i="72"/>
  <c r="O97" i="61"/>
  <c r="F80" i="70"/>
  <c r="D19" i="73"/>
  <c r="F44" i="70"/>
  <c r="E103" i="45"/>
  <c r="J42" i="94"/>
  <c r="G29" i="45"/>
  <c r="M56" i="66"/>
  <c r="M91" i="90"/>
  <c r="N8" i="69"/>
  <c r="N10" i="90"/>
  <c r="O106" i="55"/>
  <c r="D27" i="54"/>
  <c r="K44" i="49"/>
  <c r="H65" i="52"/>
  <c r="L42" i="71"/>
  <c r="I58" i="45"/>
  <c r="E13" i="57"/>
  <c r="D54" i="30"/>
  <c r="G16" i="49"/>
  <c r="J74" i="87"/>
  <c r="M38" i="44"/>
  <c r="D82" i="26"/>
  <c r="L28" i="46"/>
  <c r="N32" i="44"/>
  <c r="N103" i="38"/>
  <c r="G24"/>
  <c r="G74" i="65"/>
  <c r="G28" i="56"/>
  <c r="E33" i="72"/>
  <c r="D40" i="93"/>
  <c r="G67" i="49"/>
  <c r="M91" i="34"/>
  <c r="N101"/>
  <c r="I19" i="32"/>
  <c r="M27" i="76"/>
  <c r="K43" i="83"/>
  <c r="D9" i="69"/>
  <c r="D39" i="27"/>
  <c r="O57" i="32"/>
  <c r="F104" i="85"/>
  <c r="K56" i="60"/>
  <c r="J76" i="84"/>
  <c r="G56" i="67"/>
  <c r="O91" i="29"/>
  <c r="L82" i="58"/>
  <c r="D5" i="83"/>
  <c r="L43" i="87"/>
  <c r="N82" i="49"/>
  <c r="K46" i="84"/>
  <c r="O83" i="26"/>
  <c r="G10" i="62"/>
  <c r="J24" i="71"/>
  <c r="I12" i="93"/>
  <c r="K21" i="22"/>
  <c r="E14" i="61"/>
  <c r="H29" i="56"/>
  <c r="L29" i="55"/>
  <c r="M94" i="25"/>
  <c r="K51" i="53"/>
  <c r="G80" i="68"/>
  <c r="H25" i="48"/>
  <c r="F33" i="73"/>
  <c r="N34" i="43"/>
  <c r="M24" i="55"/>
  <c r="N43" i="65"/>
  <c r="K58" i="89"/>
  <c r="L20"/>
  <c r="H82" i="25"/>
  <c r="L83" i="29"/>
  <c r="I11" i="81"/>
  <c r="I30" i="27"/>
  <c r="G14" i="77"/>
  <c r="L71" i="59"/>
  <c r="F6" i="85"/>
  <c r="I9" i="55"/>
  <c r="G65" i="43"/>
  <c r="K54" i="82"/>
  <c r="M16" i="65"/>
  <c r="N24" i="46"/>
  <c r="L56" i="80"/>
  <c r="F59" i="54"/>
  <c r="G40" i="57"/>
  <c r="O76" i="47"/>
  <c r="N89" i="38"/>
  <c r="D49" i="59"/>
  <c r="J58" i="82"/>
  <c r="O33" i="91"/>
  <c r="G58" i="48"/>
  <c r="O19" i="73"/>
  <c r="I76" i="85"/>
  <c r="J34" i="65"/>
  <c r="J38" i="56"/>
  <c r="E30" i="54"/>
  <c r="N106" i="90"/>
  <c r="E22" i="39"/>
  <c r="E80" i="46"/>
  <c r="E24" i="49"/>
  <c r="J54" i="39"/>
  <c r="J82" i="51"/>
  <c r="D74" i="80"/>
  <c r="F54" i="27"/>
  <c r="I85" i="46"/>
  <c r="D4" i="71"/>
  <c r="E56" i="19"/>
  <c r="M22" i="26"/>
  <c r="M83" i="41"/>
  <c r="M38" i="70"/>
  <c r="E85" i="50"/>
  <c r="K46" i="91"/>
  <c r="D53" i="94"/>
  <c r="N26" i="55"/>
  <c r="N31" i="49"/>
  <c r="H89" i="35"/>
  <c r="L49" i="86"/>
  <c r="F106" i="64"/>
  <c r="I48" i="59"/>
  <c r="D24" i="81"/>
  <c r="N106" i="26"/>
  <c r="G73" i="45"/>
  <c r="M100" i="63"/>
  <c r="O44" i="38"/>
  <c r="K64" i="94"/>
  <c r="N89" i="39"/>
  <c r="D21" i="78"/>
  <c r="F17" i="58"/>
  <c r="O68" i="36"/>
  <c r="M4" i="41"/>
  <c r="D47" i="81"/>
  <c r="H22" i="48"/>
  <c r="I58" i="32"/>
  <c r="O21" i="51"/>
  <c r="J59" i="48"/>
  <c r="J86" i="54"/>
  <c r="O27" i="46"/>
  <c r="M37" i="58"/>
  <c r="I19" i="80"/>
  <c r="I35" i="48"/>
  <c r="D11" i="55"/>
  <c r="E36" i="42"/>
  <c r="D48" i="43"/>
  <c r="E15" i="63"/>
  <c r="K36" i="40"/>
  <c r="E80" i="70"/>
  <c r="K25" i="93"/>
  <c r="K27" i="77"/>
  <c r="J30" i="81"/>
  <c r="J30" i="57"/>
  <c r="E18" i="74"/>
  <c r="N97" i="87"/>
  <c r="E22" i="47"/>
  <c r="E73" i="80"/>
  <c r="I68" i="53"/>
  <c r="K101" i="44"/>
  <c r="F57" i="83"/>
  <c r="F9" i="87"/>
  <c r="O44" i="35"/>
  <c r="K48" i="71"/>
  <c r="G48"/>
  <c r="J92" i="32"/>
  <c r="D43" i="82"/>
  <c r="H11" i="86"/>
  <c r="M7" i="70"/>
  <c r="D41" i="46"/>
  <c r="D33" i="70"/>
  <c r="H55" i="68"/>
  <c r="M14" i="65"/>
  <c r="K58" i="76"/>
  <c r="F12" i="52"/>
  <c r="D7" i="77"/>
  <c r="H36" i="39"/>
  <c r="N92" i="25"/>
  <c r="I18" i="39"/>
  <c r="J17" i="40"/>
  <c r="G50" i="42"/>
  <c r="K65" i="33"/>
  <c r="H62" i="43"/>
  <c r="D17" i="60"/>
  <c r="F22" i="93"/>
  <c r="D83" i="51"/>
  <c r="N92" i="44"/>
  <c r="CJ75" i="3"/>
  <c r="N104" i="84"/>
  <c r="N71" i="51"/>
  <c r="N65" i="44"/>
  <c r="E25" i="91"/>
  <c r="G25" i="54"/>
  <c r="G20" i="75"/>
  <c r="J76" i="78"/>
  <c r="G94" i="67"/>
  <c r="H44" i="70"/>
  <c r="E49" i="82"/>
  <c r="N95" i="64"/>
  <c r="G5" i="32"/>
  <c r="N71" i="87"/>
  <c r="D86" i="73"/>
  <c r="I91" i="30"/>
  <c r="F32" i="46"/>
  <c r="I13" i="47"/>
  <c r="L24" i="70"/>
  <c r="L50" i="73"/>
  <c r="J101" i="33"/>
  <c r="G47" i="52"/>
  <c r="J47" i="66"/>
  <c r="N15" i="19"/>
  <c r="L24" i="56"/>
  <c r="H74" i="76"/>
  <c r="D20" i="44"/>
  <c r="G86" i="49"/>
  <c r="K54" i="36"/>
  <c r="F23" i="49"/>
  <c r="L40" i="86"/>
  <c r="D95" i="74"/>
  <c r="M94" i="46"/>
  <c r="H56" i="43"/>
  <c r="J41" i="55"/>
  <c r="K50" i="61"/>
  <c r="F58" i="41"/>
  <c r="M107"/>
  <c r="M45" i="80"/>
  <c r="G101" i="40"/>
  <c r="O86" i="49"/>
  <c r="N29" i="56"/>
  <c r="O57" i="19"/>
  <c r="J38" i="43"/>
  <c r="M51" i="38"/>
  <c r="O38" i="92"/>
  <c r="O31" i="32"/>
  <c r="E91" i="42"/>
  <c r="E74" i="30"/>
  <c r="L64" i="46"/>
  <c r="L88" i="47"/>
  <c r="L48" i="91"/>
  <c r="D67" i="44"/>
  <c r="F9" i="40"/>
  <c r="E47" i="36"/>
  <c r="M13" i="65"/>
  <c r="I88" i="46"/>
  <c r="M79" i="73"/>
  <c r="M86"/>
  <c r="G35" i="57"/>
  <c r="N61" i="32"/>
  <c r="M13" i="67"/>
  <c r="I100" i="30"/>
  <c r="H26" i="53"/>
  <c r="N48" i="92"/>
  <c r="D48" i="94"/>
  <c r="E7" i="19"/>
  <c r="CB29" i="3" s="1"/>
  <c r="J39" i="53"/>
  <c r="N95" i="27"/>
  <c r="M59" i="89"/>
  <c r="M58" i="43"/>
  <c r="K24" i="65"/>
  <c r="G104" i="44"/>
  <c r="L97" i="35"/>
  <c r="L76" i="57"/>
  <c r="G13" i="60"/>
  <c r="L79" i="54"/>
  <c r="M62" i="35"/>
  <c r="D95" i="19"/>
  <c r="O53" i="68"/>
  <c r="H74" i="55"/>
  <c r="O107" i="89"/>
  <c r="F68" i="92"/>
  <c r="H41" i="59"/>
  <c r="I95" i="79"/>
  <c r="L47" i="57"/>
  <c r="O23" i="76"/>
  <c r="H107" i="45"/>
  <c r="F107" i="48"/>
  <c r="E70" i="90"/>
  <c r="O80" i="89"/>
  <c r="N15" i="35"/>
  <c r="F61" i="60"/>
  <c r="F70" i="29"/>
  <c r="K57" i="77"/>
  <c r="M94" i="30"/>
  <c r="G18" i="75"/>
  <c r="F42" i="25"/>
  <c r="L58" i="49"/>
  <c r="M55" i="72"/>
  <c r="O22" i="55"/>
  <c r="E68" i="44"/>
  <c r="M20" i="56"/>
  <c r="D48" i="73"/>
  <c r="H55" i="38"/>
  <c r="K30" i="89"/>
  <c r="E79" i="36"/>
  <c r="G104" i="54"/>
  <c r="D56" i="27"/>
  <c r="D51" i="25"/>
  <c r="E58" i="27"/>
  <c r="G85" i="70"/>
  <c r="H38" i="68"/>
  <c r="K18" i="66"/>
  <c r="D101" i="43"/>
  <c r="M33" i="73"/>
  <c r="D20" i="39"/>
  <c r="G70" i="52"/>
  <c r="N97" i="68"/>
  <c r="F55" i="34"/>
  <c r="K37" i="72"/>
  <c r="E94" i="39"/>
  <c r="F13" i="56"/>
  <c r="O76" i="66"/>
  <c r="O35" i="43"/>
  <c r="N36" i="60"/>
  <c r="E107"/>
  <c r="O32" i="35"/>
  <c r="E11" i="61"/>
  <c r="L33" i="69"/>
  <c r="H68" i="38"/>
  <c r="I38" i="66"/>
  <c r="I36" i="41"/>
  <c r="I80" i="25"/>
  <c r="I7" i="61"/>
  <c r="L74" i="48"/>
  <c r="M61" i="25"/>
  <c r="L15" i="71"/>
  <c r="M89" i="76"/>
  <c r="I53" i="66"/>
  <c r="H48" i="43"/>
  <c r="J61" i="32"/>
  <c r="K53" i="39"/>
  <c r="N100" i="54"/>
  <c r="H46" i="65"/>
  <c r="N55" i="58"/>
  <c r="L91" i="75"/>
  <c r="F76" i="40"/>
  <c r="G104" i="42"/>
  <c r="D80" i="81"/>
  <c r="M33" i="33"/>
  <c r="F97" i="82"/>
  <c r="L89" i="86"/>
  <c r="E45" i="62"/>
  <c r="H13" i="47"/>
  <c r="M16" i="67"/>
  <c r="M42" i="32"/>
  <c r="J37" i="49"/>
  <c r="M46" i="60"/>
  <c r="I76" i="30"/>
  <c r="F86" i="41"/>
  <c r="E38" i="54"/>
  <c r="CB40" i="3"/>
  <c r="O67" i="53"/>
  <c r="M46" i="29"/>
  <c r="E49" i="68"/>
  <c r="K32" i="65"/>
  <c r="L47" i="70"/>
  <c r="N103" i="62"/>
  <c r="J54" i="75"/>
  <c r="L8" i="92"/>
  <c r="L27" i="19"/>
  <c r="J33" i="32"/>
  <c r="K95" i="67"/>
  <c r="I4" i="55"/>
  <c r="E7" i="54"/>
  <c r="O27" i="41"/>
  <c r="E58" i="81"/>
  <c r="L45" i="84"/>
  <c r="O21" i="90"/>
  <c r="X57" i="96"/>
  <c r="K19" i="49"/>
  <c r="E37" i="62"/>
  <c r="N59" i="80"/>
  <c r="L18" i="66"/>
  <c r="N54" i="41"/>
  <c r="G34" i="82"/>
  <c r="F73" i="65"/>
  <c r="H40" i="33"/>
  <c r="H23" i="27"/>
  <c r="H6" i="84"/>
  <c r="E85" i="87"/>
  <c r="K45" i="44"/>
  <c r="D55" i="82"/>
  <c r="J48" i="56"/>
  <c r="J14" i="51"/>
  <c r="G103" i="32"/>
  <c r="G95" i="60"/>
  <c r="E56" i="82"/>
  <c r="H38" i="34"/>
  <c r="N40" i="36"/>
  <c r="D24" i="30"/>
  <c r="N61" i="54"/>
  <c r="M41" i="87"/>
  <c r="H30" i="46"/>
  <c r="F8" i="56"/>
  <c r="L88" i="29"/>
  <c r="K65" i="92"/>
  <c r="O31" i="61"/>
  <c r="K26" i="56"/>
  <c r="O16" i="44"/>
  <c r="I77" i="61"/>
  <c r="H73" i="43"/>
  <c r="I50" i="49"/>
  <c r="E76" i="25"/>
  <c r="I88" i="94"/>
  <c r="H23" i="68"/>
  <c r="M10" i="75"/>
  <c r="N61" i="71"/>
  <c r="G8" i="78"/>
  <c r="L18" i="47"/>
  <c r="G48" i="70"/>
  <c r="E25" i="61"/>
  <c r="I86" i="54"/>
  <c r="F46" i="76"/>
  <c r="D94" i="44"/>
  <c r="O26" i="43"/>
  <c r="L92" i="80"/>
  <c r="L94" i="69"/>
  <c r="D48" i="91"/>
  <c r="D52" i="80"/>
  <c r="H104" i="82"/>
  <c r="L61" i="59"/>
  <c r="E8" i="49"/>
  <c r="G56" i="64"/>
  <c r="G56" i="26"/>
  <c r="J8" i="75"/>
  <c r="E46" i="43"/>
  <c r="F58" i="67"/>
  <c r="E32" i="53"/>
  <c r="I37" i="75"/>
  <c r="I37" i="91"/>
  <c r="M34" i="66"/>
  <c r="D56" i="53"/>
  <c r="L68" i="94"/>
  <c r="D6" i="53"/>
  <c r="O13" i="89"/>
  <c r="F29" i="78"/>
  <c r="F40" i="38"/>
  <c r="N59" i="54"/>
  <c r="H100" i="52"/>
  <c r="H44" i="94"/>
  <c r="H33" i="78"/>
  <c r="J40" i="71"/>
  <c r="M80" i="83"/>
  <c r="L26" i="29"/>
  <c r="D17" i="87"/>
  <c r="K94" i="46"/>
  <c r="K83" i="58"/>
  <c r="D27" i="94"/>
  <c r="F39" i="67"/>
  <c r="G41" i="58"/>
  <c r="E5" i="39"/>
  <c r="L103" i="65"/>
  <c r="H100" i="56"/>
  <c r="G45" i="35"/>
  <c r="D91" i="40"/>
  <c r="N104" i="61"/>
  <c r="I25" i="84"/>
  <c r="O86" i="59"/>
  <c r="E39" i="63"/>
  <c r="K58" i="90"/>
  <c r="H64" i="36"/>
  <c r="K101" i="38"/>
  <c r="L82" i="69"/>
  <c r="M5" i="93"/>
  <c r="K9" i="60"/>
  <c r="L44" i="69"/>
  <c r="J19" i="72"/>
  <c r="H80" i="74"/>
  <c r="L53" i="27"/>
  <c r="E4" i="90"/>
  <c r="D50" i="65"/>
  <c r="L13" i="89"/>
  <c r="F88" i="36"/>
  <c r="G10" i="38"/>
  <c r="L61" i="58"/>
  <c r="D41" i="38"/>
  <c r="M28" i="44"/>
  <c r="D39" i="40"/>
  <c r="L11" i="39"/>
  <c r="O44" i="90"/>
  <c r="H67" i="63"/>
  <c r="O100" i="49"/>
  <c r="G33" i="25"/>
  <c r="L49" i="43"/>
  <c r="M44" i="89"/>
  <c r="O26" i="68"/>
  <c r="L30" i="86"/>
  <c r="E82" i="76"/>
  <c r="D53" i="83"/>
  <c r="L6" i="41"/>
  <c r="E15" i="78"/>
  <c r="K68" i="26"/>
  <c r="M107" i="70"/>
  <c r="M61" i="66"/>
  <c r="J103" i="39"/>
  <c r="D95" i="77"/>
  <c r="G52" i="79"/>
  <c r="M7" i="30"/>
  <c r="N16" i="38"/>
  <c r="G20" i="70"/>
  <c r="D7" i="94"/>
  <c r="K25" i="72"/>
  <c r="O73" i="27"/>
  <c r="O91"/>
  <c r="M13" i="44"/>
  <c r="J101" i="29"/>
  <c r="H91" i="62"/>
  <c r="J92" i="39"/>
  <c r="D26" i="49"/>
  <c r="N5" i="90"/>
  <c r="O54" i="47"/>
  <c r="N7" i="32"/>
  <c r="F57" i="40"/>
  <c r="H44" i="60"/>
  <c r="I34" i="53"/>
  <c r="D6" i="60"/>
  <c r="L6" i="65"/>
  <c r="J5" i="27"/>
  <c r="N27" i="38"/>
  <c r="I61" i="74"/>
  <c r="D5" i="62"/>
  <c r="I68"/>
  <c r="N51" i="70"/>
  <c r="N20" i="44"/>
  <c r="O31" i="55"/>
  <c r="M104" i="61"/>
  <c r="L85" i="36"/>
  <c r="K8" i="69"/>
  <c r="M64" i="59"/>
  <c r="J15" i="48"/>
  <c r="M10" i="92"/>
  <c r="L22" i="93"/>
  <c r="F44" i="71"/>
  <c r="O38" i="93"/>
  <c r="D62" i="43"/>
  <c r="J8" i="72"/>
  <c r="L5" i="27"/>
  <c r="N20" i="35"/>
  <c r="D104" i="34"/>
  <c r="K6" i="75"/>
  <c r="H92" i="86"/>
  <c r="M64" i="69"/>
  <c r="L45" i="35"/>
  <c r="L61" i="41"/>
  <c r="J103" i="77"/>
  <c r="M36" i="38"/>
  <c r="K30" i="71"/>
  <c r="D6" i="73"/>
  <c r="D54" i="42"/>
  <c r="D45" i="62"/>
  <c r="D107" i="25"/>
  <c r="G98" i="84"/>
  <c r="K58" i="66"/>
  <c r="G94" i="29"/>
  <c r="M107" i="47"/>
  <c r="F54" i="78"/>
  <c r="D55" i="56"/>
  <c r="L68" i="30"/>
  <c r="I59" i="19"/>
  <c r="F55" i="25"/>
  <c r="L48" i="62"/>
  <c r="N91" i="80"/>
  <c r="N74" i="71"/>
  <c r="J56" i="72"/>
  <c r="F32" i="65"/>
  <c r="J53" i="35"/>
  <c r="N98" i="36"/>
  <c r="I33" i="56"/>
  <c r="K16" i="76"/>
  <c r="I5" i="86"/>
  <c r="N21" i="53"/>
  <c r="L71" i="87"/>
  <c r="D92" i="50"/>
  <c r="K15" i="41"/>
  <c r="E71" i="86"/>
  <c r="O32" i="53"/>
  <c r="E4" i="19"/>
  <c r="L48" i="82"/>
  <c r="N94" i="90"/>
  <c r="I39" i="79"/>
  <c r="N62" i="94"/>
  <c r="O29"/>
  <c r="K58" i="70"/>
  <c r="L88" i="73"/>
  <c r="H101" i="84"/>
  <c r="O5" i="61"/>
  <c r="H25" i="71"/>
  <c r="L74" i="64"/>
  <c r="J20" i="87"/>
  <c r="F95" i="57"/>
  <c r="F9" i="78"/>
  <c r="E24" i="60"/>
  <c r="D5" i="84"/>
  <c r="O49" i="87"/>
  <c r="K33" i="78"/>
  <c r="F53" i="19"/>
  <c r="F7" i="78"/>
  <c r="L26" i="93"/>
  <c r="E107" i="82"/>
  <c r="H5" i="92"/>
  <c r="G35" i="72"/>
  <c r="O30" i="94"/>
  <c r="H16" i="78"/>
  <c r="J80" i="58"/>
  <c r="I27" i="48"/>
  <c r="N92" i="19"/>
  <c r="D25" i="47"/>
  <c r="O48" i="54"/>
  <c r="I73" i="59"/>
  <c r="H92" i="74"/>
  <c r="M52" i="76"/>
  <c r="D74" i="90"/>
  <c r="I15" i="25"/>
  <c r="I39" i="52"/>
  <c r="O17" i="45"/>
  <c r="N42" i="44"/>
  <c r="G16" i="47"/>
  <c r="K65" i="83"/>
  <c r="F98" i="27"/>
  <c r="O68" i="77"/>
  <c r="CI31" i="3"/>
  <c r="G14" i="61"/>
  <c r="H29" i="77"/>
  <c r="D59" i="32"/>
  <c r="N42" i="46"/>
  <c r="K29" i="35"/>
  <c r="E27" i="57"/>
  <c r="J71" i="69"/>
  <c r="J31" i="33"/>
  <c r="D74" i="58"/>
  <c r="K101" i="34"/>
  <c r="I92" i="30"/>
  <c r="J36" i="35"/>
  <c r="F55" i="48"/>
  <c r="J4" i="90"/>
  <c r="N5" i="71"/>
  <c r="O55" i="76"/>
  <c r="E28" i="42"/>
  <c r="I98" i="52"/>
  <c r="L10" i="34"/>
  <c r="L95" i="51"/>
  <c r="O95" i="41"/>
  <c r="J29" i="84"/>
  <c r="G71" i="25"/>
  <c r="O53" i="38"/>
  <c r="E23" i="73"/>
  <c r="G88" i="53"/>
  <c r="J48" i="60"/>
  <c r="J101" i="76"/>
  <c r="J30" i="38"/>
  <c r="D74" i="60"/>
  <c r="G22" i="45"/>
  <c r="G89" i="70"/>
  <c r="O54" i="84"/>
  <c r="F7" i="67"/>
  <c r="H107" i="27"/>
  <c r="J100" i="62"/>
  <c r="H73" i="19"/>
  <c r="F35" i="60"/>
  <c r="G24" i="45"/>
  <c r="I86" i="87"/>
  <c r="O44" i="77"/>
  <c r="K49" i="32"/>
  <c r="G68" i="43"/>
  <c r="H58" i="42"/>
  <c r="E58" i="78"/>
  <c r="H61" i="84"/>
  <c r="N20" i="70"/>
  <c r="M47" i="48"/>
  <c r="J55" i="72"/>
  <c r="O35" i="89"/>
  <c r="E11" i="39"/>
  <c r="L27" i="47"/>
  <c r="H80" i="86"/>
  <c r="D94" i="62"/>
  <c r="L100" i="93"/>
  <c r="O101" i="90"/>
  <c r="D43" i="32"/>
  <c r="H5" i="35"/>
  <c r="M14" i="90"/>
  <c r="I77" i="89"/>
  <c r="N24" i="26"/>
  <c r="J73" i="72"/>
  <c r="M55" i="30"/>
  <c r="M44" i="54"/>
  <c r="L104" i="43"/>
  <c r="L15" i="65"/>
  <c r="M26" i="76"/>
  <c r="N65" i="71"/>
  <c r="I100" i="79"/>
  <c r="E22" i="85"/>
  <c r="F92" i="29"/>
  <c r="O68" i="84"/>
  <c r="H101" i="76"/>
  <c r="G73" i="90"/>
  <c r="H44" i="39"/>
  <c r="I71" i="69"/>
  <c r="O6"/>
  <c r="D89" i="29"/>
  <c r="L79" i="75"/>
  <c r="H39" i="48"/>
  <c r="M26" i="53"/>
  <c r="E5" i="45"/>
  <c r="O49" i="34"/>
  <c r="L39" i="41"/>
  <c r="L55" i="60"/>
  <c r="H45" i="64"/>
  <c r="F67" i="19"/>
  <c r="D49" i="90"/>
  <c r="M24" i="59"/>
  <c r="H97" i="87"/>
  <c r="K54" i="47"/>
  <c r="I41" i="93"/>
  <c r="D94" i="77"/>
  <c r="I39" i="67"/>
  <c r="L47" i="56"/>
  <c r="G21" i="50"/>
  <c r="H13" i="52"/>
  <c r="K47" i="46"/>
  <c r="E54" i="66"/>
  <c r="L16" i="69"/>
  <c r="H21" i="56"/>
  <c r="E76" i="76"/>
  <c r="K21" i="33"/>
  <c r="J23" i="26"/>
  <c r="D14" i="84"/>
  <c r="N71" i="60"/>
  <c r="D5" i="79"/>
  <c r="I98" i="71"/>
  <c r="I107" i="56"/>
  <c r="M97" i="54"/>
  <c r="H50" i="57"/>
  <c r="H5" i="67"/>
  <c r="H6" i="57"/>
  <c r="K34" i="87"/>
  <c r="H21" i="86"/>
  <c r="K91" i="38"/>
  <c r="D64" i="52"/>
  <c r="H35" i="67"/>
  <c r="J95" i="80"/>
  <c r="D57" i="27"/>
  <c r="J85" i="91"/>
  <c r="H37" i="51"/>
  <c r="I44" i="39"/>
  <c r="F74" i="30"/>
  <c r="K31" i="68"/>
  <c r="J45" i="93"/>
  <c r="E48" i="72"/>
  <c r="H8" i="70"/>
  <c r="G62" i="83"/>
  <c r="E59" i="87"/>
  <c r="M53" i="40"/>
  <c r="E61" i="78"/>
  <c r="D65" i="33"/>
  <c r="D76" i="57"/>
  <c r="D15" i="19"/>
  <c r="K26" i="35"/>
  <c r="K6" i="86"/>
  <c r="J5" i="74"/>
  <c r="D68" i="55"/>
  <c r="M89" i="78"/>
  <c r="J79" i="93"/>
  <c r="L98" i="35"/>
  <c r="N31" i="89"/>
  <c r="O47" i="77"/>
  <c r="J24" i="69"/>
  <c r="O29" i="32"/>
  <c r="O92" i="84"/>
  <c r="H82" i="32"/>
  <c r="L21" i="81"/>
  <c r="K62" i="32"/>
  <c r="K82" i="25"/>
  <c r="L55" i="62"/>
  <c r="F56" i="34"/>
  <c r="G51" i="52"/>
  <c r="E98" i="94"/>
  <c r="L80" i="69"/>
  <c r="D36" i="66"/>
  <c r="F51" i="25"/>
  <c r="E83" i="19"/>
  <c r="L33" i="73"/>
  <c r="G11" i="32"/>
  <c r="F50" i="43"/>
  <c r="E40" i="53"/>
  <c r="L51" i="32"/>
  <c r="N71" i="83"/>
  <c r="I89" i="59"/>
  <c r="L28" i="51"/>
  <c r="M4" i="19"/>
  <c r="I17" i="61"/>
  <c r="H18" i="44"/>
  <c r="I54" i="78"/>
  <c r="L26" i="73"/>
  <c r="M55" i="70"/>
  <c r="H95" i="94"/>
  <c r="F6" i="48"/>
  <c r="M51" i="36"/>
  <c r="J85" i="35"/>
  <c r="F16" i="92"/>
  <c r="F18" i="47"/>
  <c r="J37" i="46"/>
  <c r="H70" i="70"/>
  <c r="M34" i="41"/>
  <c r="O8" i="89"/>
  <c r="M18" i="66"/>
  <c r="D21" i="74"/>
  <c r="I48" i="78"/>
  <c r="N52" i="54"/>
  <c r="M36" i="76"/>
  <c r="D44" i="43"/>
  <c r="CA66" i="3" s="1"/>
  <c r="I10" i="66"/>
  <c r="F27" i="60"/>
  <c r="H13" i="54"/>
  <c r="F12" i="83"/>
  <c r="N101" i="81"/>
  <c r="H38" i="19"/>
  <c r="CE60" i="3" s="1"/>
  <c r="I21" i="81"/>
  <c r="L83" i="77"/>
  <c r="L32" i="90"/>
  <c r="H30" i="92"/>
  <c r="J31" i="32"/>
  <c r="J97" i="58"/>
  <c r="G55" i="60"/>
  <c r="J13" i="27"/>
  <c r="L29" i="83"/>
  <c r="H35" i="58"/>
  <c r="F35" i="29"/>
  <c r="E56" i="56"/>
  <c r="G21" i="27"/>
  <c r="D104" i="85"/>
  <c r="L39" i="30"/>
  <c r="G38" i="35"/>
  <c r="E107" i="26"/>
  <c r="I70" i="33"/>
  <c r="H31" i="56"/>
  <c r="N54" i="51"/>
  <c r="I62" i="29"/>
  <c r="L95" i="67"/>
  <c r="M17" i="63"/>
  <c r="I100" i="44"/>
  <c r="E101" i="68"/>
  <c r="K17" i="81"/>
  <c r="J107" i="90"/>
  <c r="N82" i="33"/>
  <c r="H91" i="46"/>
  <c r="K30" i="67"/>
  <c r="K107" i="94"/>
  <c r="D29" i="80"/>
  <c r="M16" i="74"/>
  <c r="M74" i="32"/>
  <c r="L46" i="59"/>
  <c r="I23" i="64"/>
  <c r="F28" i="32"/>
  <c r="D19" i="56"/>
  <c r="I47" i="44"/>
  <c r="F29" i="83"/>
  <c r="I54" i="93"/>
  <c r="M80" i="44"/>
  <c r="H74" i="72"/>
  <c r="E101" i="50"/>
  <c r="K9" i="51"/>
  <c r="J39" i="94"/>
  <c r="J55" i="68"/>
  <c r="H100" i="89"/>
  <c r="I85" i="35"/>
  <c r="D22" i="78"/>
  <c r="D10"/>
  <c r="L77" i="90"/>
  <c r="I27" i="53"/>
  <c r="H11" i="92"/>
  <c r="H64" i="60"/>
  <c r="N9" i="76"/>
  <c r="J59" i="58"/>
  <c r="N12" i="71"/>
  <c r="F5" i="56"/>
  <c r="K20" i="39"/>
  <c r="I59" i="74"/>
  <c r="E8" i="87"/>
  <c r="K6" i="51"/>
  <c r="N36" i="92"/>
  <c r="I88" i="93"/>
  <c r="K45" i="89"/>
  <c r="H53" i="76"/>
  <c r="M97" i="56"/>
  <c r="M37" i="40"/>
  <c r="N24" i="71"/>
  <c r="E42" i="80"/>
  <c r="H10" i="81"/>
  <c r="K79" i="73"/>
  <c r="G67" i="53"/>
  <c r="L22" i="44"/>
  <c r="F4" i="35"/>
  <c r="D30" i="91"/>
  <c r="N27" i="59"/>
  <c r="N104" i="67"/>
  <c r="D8" i="70"/>
  <c r="K52" i="89"/>
  <c r="N29" i="45"/>
  <c r="J20" i="77"/>
  <c r="J107" i="82"/>
  <c r="D100" i="65"/>
  <c r="D51" i="93"/>
  <c r="I107" i="41"/>
  <c r="E29" i="70"/>
  <c r="N52" i="75"/>
  <c r="O48" i="56"/>
  <c r="F35" i="54"/>
  <c r="I58" i="74"/>
  <c r="O14" i="69"/>
  <c r="L76" i="65"/>
  <c r="G46" i="83"/>
  <c r="N20" i="43"/>
  <c r="E44" i="33"/>
  <c r="K38" i="57"/>
  <c r="O25" i="43"/>
  <c r="M101" i="93"/>
  <c r="D76" i="58"/>
  <c r="M104" i="36"/>
  <c r="E21" i="29"/>
  <c r="J48" i="61"/>
  <c r="K65" i="26"/>
  <c r="F37" i="85"/>
  <c r="J98" i="93"/>
  <c r="K91" i="58"/>
  <c r="I4" i="78"/>
  <c r="H13" i="86"/>
  <c r="H12" i="42"/>
  <c r="F73" i="74"/>
  <c r="G46" i="92"/>
  <c r="H52" i="66"/>
  <c r="O7" i="92"/>
  <c r="E101" i="41"/>
  <c r="O73" i="40"/>
  <c r="I85" i="75"/>
  <c r="K56" i="77"/>
  <c r="D18" i="52"/>
  <c r="J83" i="68"/>
  <c r="K91" i="46"/>
  <c r="I8" i="25"/>
  <c r="H65" i="44"/>
  <c r="K82" i="51"/>
  <c r="F25" i="27"/>
  <c r="O6" i="46"/>
  <c r="H37" i="41"/>
  <c r="N7" i="49"/>
  <c r="E33" i="35"/>
  <c r="F70" i="34"/>
  <c r="M22" i="77"/>
  <c r="I21" i="92"/>
  <c r="O51" i="75"/>
  <c r="M27" i="30"/>
  <c r="L48" i="38"/>
  <c r="E4" i="36"/>
  <c r="N48" i="72"/>
  <c r="E5" i="76"/>
  <c r="F101" i="26"/>
  <c r="D30" i="56"/>
  <c r="L43" i="65"/>
  <c r="E97" i="27"/>
  <c r="I25" i="82"/>
  <c r="O38" i="56"/>
  <c r="G80" i="80"/>
  <c r="O40" i="44"/>
  <c r="H67" i="33"/>
  <c r="D52" i="39"/>
  <c r="M12" i="91"/>
  <c r="M35" i="57"/>
  <c r="M49" i="36"/>
  <c r="E23" i="92"/>
  <c r="I42" i="38"/>
  <c r="K73" i="48"/>
  <c r="G46" i="57"/>
  <c r="N51" i="92"/>
  <c r="E77" i="39"/>
  <c r="G68" i="62"/>
  <c r="M21" i="65"/>
  <c r="D97" i="25"/>
  <c r="K86" i="33"/>
  <c r="J28" i="25"/>
  <c r="O82" i="63"/>
  <c r="D86" i="71"/>
  <c r="K20" i="55"/>
  <c r="O12" i="87"/>
  <c r="H19" i="49"/>
  <c r="J79" i="65"/>
  <c r="O97" i="46"/>
  <c r="I106" i="83"/>
  <c r="M88" i="78"/>
  <c r="I47" i="26"/>
  <c r="L6" i="45"/>
  <c r="I37" i="81"/>
  <c r="K14" i="36"/>
  <c r="O20" i="65"/>
  <c r="O36" i="35"/>
  <c r="D80" i="38"/>
  <c r="J98" i="60"/>
  <c r="K94" i="26"/>
  <c r="L38" i="39"/>
  <c r="M89" i="49"/>
  <c r="E98" i="27"/>
  <c r="G47" i="44"/>
  <c r="J73" i="82"/>
  <c r="F33" i="78"/>
  <c r="I33" i="89"/>
  <c r="O18" i="71"/>
  <c r="D40" i="75"/>
  <c r="F8" i="25"/>
  <c r="E79" i="64"/>
  <c r="M13" i="58"/>
  <c r="I56" i="77"/>
  <c r="J58" i="41"/>
  <c r="N47" i="53"/>
  <c r="E34" i="91"/>
  <c r="D67" i="63"/>
  <c r="I76" i="55"/>
  <c r="M80" i="33"/>
  <c r="H43" i="72"/>
  <c r="N23" i="71"/>
  <c r="H29" i="35"/>
  <c r="O51" i="26"/>
  <c r="L36" i="27"/>
  <c r="I100" i="69"/>
  <c r="E43" i="30"/>
  <c r="I12" i="34"/>
  <c r="F89" i="72"/>
  <c r="K67" i="26"/>
  <c r="E42" i="72"/>
  <c r="O43"/>
  <c r="L94" i="51"/>
  <c r="M68" i="34"/>
  <c r="L47" i="75"/>
  <c r="O18" i="76"/>
  <c r="M59" i="19"/>
  <c r="H24" i="55"/>
  <c r="O22" i="94"/>
  <c r="N89" i="83"/>
  <c r="F13" i="63"/>
  <c r="I13" i="89"/>
  <c r="L38" i="44"/>
  <c r="D22" i="64"/>
  <c r="J7" i="60"/>
  <c r="I57" i="55"/>
  <c r="K14" i="64"/>
  <c r="H38" i="74"/>
  <c r="G21" i="69"/>
  <c r="N18" i="49"/>
  <c r="K4" i="57"/>
  <c r="O42" i="19"/>
  <c r="K27" i="22" s="1"/>
  <c r="N107" i="43"/>
  <c r="M17" i="25"/>
  <c r="H74" i="73"/>
  <c r="J14" i="26"/>
  <c r="J64" i="51"/>
  <c r="F94" i="30"/>
  <c r="J36" i="78"/>
  <c r="G65" i="41"/>
  <c r="E64" i="77"/>
  <c r="F48" i="80"/>
  <c r="H40" i="29"/>
  <c r="H74" i="19"/>
  <c r="H46" i="60"/>
  <c r="I82" i="90"/>
  <c r="G48" i="91"/>
  <c r="I30" i="66"/>
  <c r="G36" i="45"/>
  <c r="D95" i="47"/>
  <c r="E57" i="39"/>
  <c r="N15" i="32"/>
  <c r="G10" i="75"/>
  <c r="H51" i="82"/>
  <c r="F7" i="48"/>
  <c r="D13" i="27"/>
  <c r="N61" i="65"/>
  <c r="K89" i="73"/>
  <c r="H85" i="80"/>
  <c r="G29" i="32"/>
  <c r="K37" i="39"/>
  <c r="E77" i="76"/>
  <c r="G98" i="50"/>
  <c r="F41" i="56"/>
  <c r="G50" i="46"/>
  <c r="F38" i="65"/>
  <c r="D97" i="74"/>
  <c r="G19" i="64"/>
  <c r="F77" i="63"/>
  <c r="G4" i="76"/>
  <c r="I94" i="61"/>
  <c r="M32" i="93"/>
  <c r="I50" i="90"/>
  <c r="K61" i="82"/>
  <c r="D62" i="60"/>
  <c r="N17"/>
  <c r="D58" i="84"/>
  <c r="L80" i="74"/>
  <c r="E88" i="44"/>
  <c r="H103" i="54"/>
  <c r="G65" i="77"/>
  <c r="F34" i="68"/>
  <c r="M68" i="80"/>
  <c r="D82" i="47"/>
  <c r="J89" i="29"/>
  <c r="O49" i="38"/>
  <c r="K52" i="59"/>
  <c r="E19" i="93"/>
  <c r="D54" i="89"/>
  <c r="J38" i="66"/>
  <c r="E52" i="86"/>
  <c r="J101" i="35"/>
  <c r="M32" i="75"/>
  <c r="G59" i="49"/>
  <c r="E34" i="70"/>
  <c r="K91" i="57"/>
  <c r="L12" i="53"/>
  <c r="N29" i="39"/>
  <c r="L20" i="91"/>
  <c r="K47" i="66"/>
  <c r="G42" i="26"/>
  <c r="N104" i="46"/>
  <c r="D59" i="78"/>
  <c r="I26" i="76"/>
  <c r="G73" i="40"/>
  <c r="J22" i="41"/>
  <c r="F64" i="34"/>
  <c r="L10" i="58"/>
  <c r="F91" i="26"/>
  <c r="L64" i="47"/>
  <c r="O35" i="63"/>
  <c r="N97" i="76"/>
  <c r="K62" i="93"/>
  <c r="L52" i="54"/>
  <c r="I24" i="62"/>
  <c r="I16" i="25"/>
  <c r="H30" i="60"/>
  <c r="M86" i="90"/>
  <c r="N80" i="77"/>
  <c r="D22" i="59"/>
  <c r="M5" i="69"/>
  <c r="L40" i="41"/>
  <c r="M104" i="26"/>
  <c r="H22" i="93"/>
  <c r="J77" i="41"/>
  <c r="N8"/>
  <c r="G52" i="93"/>
  <c r="L21" i="73"/>
  <c r="D55" i="68"/>
  <c r="H82" i="86"/>
  <c r="K29" i="68"/>
  <c r="L92" i="25"/>
  <c r="O35" i="76"/>
  <c r="L76" i="69"/>
  <c r="I11" i="78"/>
  <c r="L44" i="89"/>
  <c r="O17" i="72"/>
  <c r="I6" i="49"/>
  <c r="M27" i="62"/>
  <c r="E28" i="45"/>
  <c r="O26" i="80"/>
  <c r="L35" i="63"/>
  <c r="E59" i="41"/>
  <c r="K31" i="46"/>
  <c r="E21" i="26"/>
  <c r="K65" i="43"/>
  <c r="F4" i="27"/>
  <c r="E77" i="59"/>
  <c r="D4" i="94"/>
  <c r="K82" i="58"/>
  <c r="F10" i="91"/>
  <c r="K47" i="57"/>
  <c r="D28" i="87"/>
  <c r="K33" i="26"/>
  <c r="E95" i="36"/>
  <c r="G77" i="29"/>
  <c r="D15" i="39"/>
  <c r="G47" i="36"/>
  <c r="L68" i="87"/>
  <c r="G37" i="60"/>
  <c r="F30" i="47"/>
  <c r="L97" i="19"/>
  <c r="G6" i="55"/>
  <c r="I98" i="19"/>
  <c r="F16" i="32"/>
  <c r="G57" i="55"/>
  <c r="N79" i="65"/>
  <c r="D11" i="58"/>
  <c r="F28"/>
  <c r="M9" i="94"/>
  <c r="I54" i="70"/>
  <c r="H30" i="35"/>
  <c r="I42" i="29"/>
  <c r="I17" i="92"/>
  <c r="K5" i="29"/>
  <c r="D36" i="90"/>
  <c r="H89" i="30"/>
  <c r="M74" i="90"/>
  <c r="G49" i="35"/>
  <c r="O7" i="71"/>
  <c r="N14" i="63"/>
  <c r="K21" i="66"/>
  <c r="J59" i="77"/>
  <c r="O44" i="26"/>
  <c r="K70" i="19"/>
  <c r="O46" i="32"/>
  <c r="F98" i="78"/>
  <c r="N28" i="60"/>
  <c r="G16" i="81"/>
  <c r="J45" i="61"/>
  <c r="M68" i="81"/>
  <c r="I77" i="19"/>
  <c r="D76" i="55"/>
  <c r="O12" i="35"/>
  <c r="O97" i="78"/>
  <c r="O67" i="46"/>
  <c r="E104" i="27"/>
  <c r="N107" i="48"/>
  <c r="I21" i="59"/>
  <c r="D16" i="19"/>
  <c r="D27" i="50"/>
  <c r="J89" i="60"/>
  <c r="G59" i="38"/>
  <c r="M28" i="32"/>
  <c r="M9" i="51"/>
  <c r="N107" i="62"/>
  <c r="N100" i="34"/>
  <c r="J42" i="25"/>
  <c r="G14" i="45"/>
  <c r="L67" i="71"/>
  <c r="J57" i="66"/>
  <c r="K46" i="33"/>
  <c r="D55" i="70"/>
  <c r="I14" i="78"/>
  <c r="F32" i="25"/>
  <c r="E36" i="75"/>
  <c r="M53" i="55"/>
  <c r="I80" i="51"/>
  <c r="K44" i="65"/>
  <c r="D25" i="25"/>
  <c r="L83" i="61"/>
  <c r="G57" i="63"/>
  <c r="K24" i="73"/>
  <c r="H73" i="75"/>
  <c r="L106" i="26"/>
  <c r="H19" i="38"/>
  <c r="D11" i="64"/>
  <c r="G59" i="80"/>
  <c r="M62" i="69"/>
  <c r="L47" i="19"/>
  <c r="D39" i="44"/>
  <c r="F91" i="75"/>
  <c r="O46" i="94"/>
  <c r="M100" i="64"/>
  <c r="E32" i="71"/>
  <c r="L27" i="87"/>
  <c r="I46" i="40"/>
  <c r="E80" i="78"/>
  <c r="K24" i="74"/>
  <c r="E40" i="47"/>
  <c r="O61" i="34"/>
  <c r="G42" i="19"/>
  <c r="G100" i="38"/>
  <c r="G76" i="77"/>
  <c r="L42" i="68"/>
  <c r="M57" i="25"/>
  <c r="N98" i="46"/>
  <c r="H39" i="43"/>
  <c r="F106" i="48"/>
  <c r="L59" i="75"/>
  <c r="L61" i="82"/>
  <c r="I103" i="87"/>
  <c r="N21" i="89"/>
  <c r="O10" i="43"/>
  <c r="H22" i="63"/>
  <c r="F53" i="51"/>
  <c r="L43" i="76"/>
  <c r="D18" i="91"/>
  <c r="H79" i="87"/>
  <c r="H36" i="93"/>
  <c r="D20" i="84"/>
  <c r="E22" i="72"/>
  <c r="N5" i="39"/>
  <c r="N62" i="71"/>
  <c r="I19" i="79"/>
  <c r="M107" i="29"/>
  <c r="H17" i="38"/>
  <c r="H43" i="76"/>
  <c r="K29" i="45"/>
  <c r="O49" i="41"/>
  <c r="G43" i="81"/>
  <c r="F68" i="70"/>
  <c r="O26" i="26"/>
  <c r="I100" i="61"/>
  <c r="M25" i="56"/>
  <c r="N76" i="41"/>
  <c r="E44" i="65"/>
  <c r="O89" i="81"/>
  <c r="K52" i="78"/>
  <c r="CF51" i="3"/>
  <c r="H41" i="85"/>
  <c r="K7" i="61"/>
  <c r="M27" i="41"/>
  <c r="M18" i="78"/>
  <c r="K67" i="61"/>
  <c r="G24" i="52"/>
  <c r="L31" i="29"/>
  <c r="J22" i="54"/>
  <c r="M32" i="33"/>
  <c r="K64" i="71"/>
  <c r="D79" i="91"/>
  <c r="O74" i="68"/>
  <c r="K25" i="25"/>
  <c r="M17" i="30"/>
  <c r="G53" i="25"/>
  <c r="M51" i="61"/>
  <c r="K76" i="26"/>
  <c r="J89" i="40"/>
  <c r="H50" i="83"/>
  <c r="O45" i="48"/>
  <c r="K5" i="81"/>
  <c r="O73" i="86"/>
  <c r="M9" i="53"/>
  <c r="E48" i="61"/>
  <c r="N71" i="30"/>
  <c r="G31" i="69"/>
  <c r="L80" i="72"/>
  <c r="E24" i="19"/>
  <c r="D23" i="65"/>
  <c r="N29" i="86"/>
  <c r="G26" i="63"/>
  <c r="O23" i="81"/>
  <c r="H24" i="42"/>
  <c r="F14" i="43"/>
  <c r="F62" i="25"/>
  <c r="G46" i="64"/>
  <c r="K77" i="82"/>
  <c r="I71" i="58"/>
  <c r="I13" i="65"/>
  <c r="G97" i="38"/>
  <c r="K6" i="72"/>
  <c r="E73" i="71"/>
  <c r="D92" i="60"/>
  <c r="I80" i="43"/>
  <c r="M68" i="61"/>
  <c r="K107" i="19"/>
  <c r="O47" i="83"/>
  <c r="J50" i="43"/>
  <c r="D71" i="45"/>
  <c r="K107" i="26"/>
  <c r="N14" i="93"/>
  <c r="K4" i="84"/>
  <c r="H20" i="74"/>
  <c r="D92" i="42"/>
  <c r="N71" i="57"/>
  <c r="I89" i="67"/>
  <c r="E8" i="32"/>
  <c r="L53" i="26"/>
  <c r="O85" i="70"/>
  <c r="L40" i="58"/>
  <c r="O85" i="59"/>
  <c r="J34" i="39"/>
  <c r="H86" i="51"/>
  <c r="H70" i="79"/>
  <c r="I51" i="47"/>
  <c r="M98" i="40"/>
  <c r="G37" i="68"/>
  <c r="I52" i="19"/>
  <c r="J26" i="94"/>
  <c r="I22" i="73"/>
  <c r="H21" i="78"/>
  <c r="F77" i="19"/>
  <c r="K46" i="66"/>
  <c r="H80" i="33"/>
  <c r="D85" i="92"/>
  <c r="M97" i="45"/>
  <c r="H42" i="40"/>
  <c r="H77" i="35"/>
  <c r="D80" i="30"/>
  <c r="H47" i="76"/>
  <c r="M38" i="57"/>
  <c r="D8" i="60"/>
  <c r="H17" i="49"/>
  <c r="J36" i="38"/>
  <c r="M61" i="86"/>
  <c r="J47" i="57"/>
  <c r="M44" i="91"/>
  <c r="O50" i="38"/>
  <c r="N15" i="74"/>
  <c r="O89" i="35"/>
  <c r="E85" i="47"/>
  <c r="M91" i="49"/>
  <c r="D82" i="58"/>
  <c r="L19" i="26"/>
  <c r="O71" i="48"/>
  <c r="O34" i="38"/>
  <c r="K51" i="35"/>
  <c r="D92" i="41"/>
  <c r="G4" i="61"/>
  <c r="K73" i="51"/>
  <c r="O58" i="68"/>
  <c r="E89" i="89"/>
  <c r="G10" i="47"/>
  <c r="J76" i="91"/>
  <c r="L57" i="62"/>
  <c r="O62" i="43"/>
  <c r="I28" i="91"/>
  <c r="G7" i="60"/>
  <c r="N53" i="47"/>
  <c r="K29" i="39"/>
  <c r="I19" i="35"/>
  <c r="N48" i="63"/>
  <c r="J100" i="89"/>
  <c r="O101" i="86"/>
  <c r="G91" i="56"/>
  <c r="N50" i="39"/>
  <c r="O92" i="73"/>
  <c r="M9" i="69"/>
  <c r="J19"/>
  <c r="N103" i="75"/>
  <c r="O76" i="27"/>
  <c r="F86" i="62"/>
  <c r="G67" i="39"/>
  <c r="J44" i="34"/>
  <c r="L107" i="62"/>
  <c r="H100" i="60"/>
  <c r="O14" i="77"/>
  <c r="J103" i="19"/>
  <c r="H14" i="25"/>
  <c r="L5" i="84"/>
  <c r="M54" i="44"/>
  <c r="N97" i="75"/>
  <c r="F70" i="33"/>
  <c r="J101" i="39"/>
  <c r="H30" i="51"/>
  <c r="L59" i="26"/>
  <c r="H48" i="70"/>
  <c r="D48" i="72"/>
  <c r="L56" i="59"/>
  <c r="K49" i="38"/>
  <c r="I5" i="52"/>
  <c r="H20" i="54"/>
  <c r="I49" i="85"/>
  <c r="D57" i="55"/>
  <c r="H57" i="36"/>
  <c r="F80" i="87"/>
  <c r="G101" i="64"/>
  <c r="G9" i="35"/>
  <c r="D5" i="90"/>
  <c r="N9" i="40"/>
  <c r="H20" i="29"/>
  <c r="D6" i="65"/>
  <c r="D18" i="39"/>
  <c r="L65" i="67"/>
  <c r="N91" i="83"/>
  <c r="I37" i="51"/>
  <c r="F48" i="49"/>
  <c r="I40" i="26"/>
  <c r="G52" i="46"/>
  <c r="M68" i="48"/>
  <c r="G38" i="43"/>
  <c r="D46" i="19"/>
  <c r="K31" i="22" s="1"/>
  <c r="E107" i="39"/>
  <c r="L107" i="90"/>
  <c r="O24" i="36"/>
  <c r="O52" i="78"/>
  <c r="K85" i="34"/>
  <c r="H46" i="42"/>
  <c r="J46" i="64"/>
  <c r="J95" i="63"/>
  <c r="G97" i="65"/>
  <c r="F86" i="46"/>
  <c r="G13" i="44"/>
  <c r="K37" i="91"/>
  <c r="L53" i="59"/>
  <c r="I43" i="35"/>
  <c r="M64" i="67"/>
  <c r="L9" i="25"/>
  <c r="M42" i="71"/>
  <c r="D62" i="39"/>
  <c r="F36" i="73"/>
  <c r="M47" i="19"/>
  <c r="M48" i="76"/>
  <c r="J76" i="61"/>
  <c r="K91" i="83"/>
  <c r="E71" i="76"/>
  <c r="H8" i="82"/>
  <c r="M76" i="54"/>
  <c r="L88" i="19"/>
  <c r="H5" i="93"/>
  <c r="L100" i="32"/>
  <c r="I8" i="77"/>
  <c r="N37" i="65"/>
  <c r="F70" i="60"/>
  <c r="I58" i="25"/>
  <c r="N77" i="93"/>
  <c r="D4" i="34"/>
  <c r="K22" i="56"/>
  <c r="G51" i="53"/>
  <c r="D64" i="19"/>
  <c r="N100" i="29"/>
  <c r="M37" i="48"/>
  <c r="N89" i="65"/>
  <c r="I24" i="52"/>
  <c r="O107" i="30"/>
  <c r="O20" i="68"/>
  <c r="J35" i="26"/>
  <c r="J18" i="38"/>
  <c r="J6" i="73"/>
  <c r="L29" i="45"/>
  <c r="N80" i="47"/>
  <c r="O45" i="67"/>
  <c r="J54" i="94"/>
  <c r="F6" i="53"/>
  <c r="N104" i="64"/>
  <c r="O44" i="57"/>
  <c r="M64" i="71"/>
  <c r="K59" i="73"/>
  <c r="O91"/>
  <c r="I100" i="51"/>
  <c r="H18" i="60"/>
  <c r="F86" i="40"/>
  <c r="E95" i="80"/>
  <c r="E39" i="47"/>
  <c r="J42" i="65"/>
  <c r="I6" i="30"/>
  <c r="D34" i="64"/>
  <c r="M26" i="48"/>
  <c r="E13" i="46"/>
  <c r="O17" i="83"/>
  <c r="I55" i="70"/>
  <c r="L67" i="35"/>
  <c r="K62" i="89"/>
  <c r="E26" i="92"/>
  <c r="N76" i="27"/>
  <c r="M13" i="83"/>
  <c r="K80" i="33"/>
  <c r="F100" i="27"/>
  <c r="F71" i="90"/>
  <c r="D54" i="71"/>
  <c r="E30" i="78"/>
  <c r="N58" i="59"/>
  <c r="D19" i="27"/>
  <c r="M95" i="82"/>
  <c r="N38" i="46"/>
  <c r="I35" i="26"/>
  <c r="D38" i="51"/>
  <c r="D91" i="92"/>
  <c r="K37" i="40"/>
  <c r="G104" i="82"/>
  <c r="E57" i="29"/>
  <c r="N14" i="78"/>
  <c r="E38" i="60"/>
  <c r="E62" i="26"/>
  <c r="E37" i="43"/>
  <c r="D88" i="44"/>
  <c r="I55" i="84"/>
  <c r="N95" i="46"/>
  <c r="K19" i="51"/>
  <c r="N44" i="80"/>
  <c r="F65" i="82"/>
  <c r="J30" i="56"/>
  <c r="H30" i="75"/>
  <c r="J94" i="58"/>
  <c r="K56" i="89"/>
  <c r="M65" i="55"/>
  <c r="J89"/>
  <c r="L89" i="34"/>
  <c r="M22" i="44"/>
  <c r="N10" i="70"/>
  <c r="I23" i="33"/>
  <c r="N83" i="81"/>
  <c r="N42" i="78"/>
  <c r="E94" i="63"/>
  <c r="N51" i="19"/>
  <c r="H107" i="30"/>
  <c r="D65" i="75"/>
  <c r="J89" i="54"/>
  <c r="J26" i="90"/>
  <c r="G57" i="71"/>
  <c r="H52" i="78"/>
  <c r="K77" i="19"/>
  <c r="F68" i="90"/>
  <c r="L61" i="39"/>
  <c r="O103" i="90"/>
  <c r="G33" i="29"/>
  <c r="E4" i="26"/>
  <c r="K103" i="66"/>
  <c r="K49" i="73"/>
  <c r="I51" i="58"/>
  <c r="E37" i="50"/>
  <c r="G42" i="45"/>
  <c r="M56" i="58"/>
  <c r="H34" i="84"/>
  <c r="K43" i="26"/>
  <c r="I33" i="19"/>
  <c r="N107" i="35"/>
  <c r="J79" i="36"/>
  <c r="CK78" i="3"/>
  <c r="H40" i="34"/>
  <c r="K41" i="40"/>
  <c r="G38" i="41"/>
  <c r="J76" i="83"/>
  <c r="M65" i="19"/>
  <c r="L18" i="77"/>
  <c r="F49" i="47"/>
  <c r="I46" i="42"/>
  <c r="J95" i="73"/>
  <c r="F74" i="86"/>
  <c r="F100" i="26"/>
  <c r="N107" i="76"/>
  <c r="G70" i="39"/>
  <c r="L33" i="45"/>
  <c r="I103" i="82"/>
  <c r="H22" i="94"/>
  <c r="F107" i="91"/>
  <c r="M17" i="89"/>
  <c r="N77" i="56"/>
  <c r="H7" i="45"/>
  <c r="K6" i="69"/>
  <c r="G77" i="27"/>
  <c r="E19" i="34"/>
  <c r="H14" i="43"/>
  <c r="M20" i="78"/>
  <c r="F10" i="38"/>
  <c r="G100" i="33"/>
  <c r="D37" i="41"/>
  <c r="F47" i="84"/>
  <c r="M107" i="55"/>
  <c r="G49" i="92"/>
  <c r="L56" i="73"/>
  <c r="M40" i="19"/>
  <c r="G56" i="54"/>
  <c r="D101" i="87"/>
  <c r="E9" i="35"/>
  <c r="E51" i="51"/>
  <c r="G95" i="63"/>
  <c r="M89" i="65"/>
  <c r="N58" i="51"/>
  <c r="H55" i="32"/>
  <c r="D32" i="93"/>
  <c r="K23" i="76"/>
  <c r="F19" i="56"/>
  <c r="F83" i="74"/>
  <c r="F21" i="75"/>
  <c r="O44" i="82"/>
  <c r="L48" i="92"/>
  <c r="F92" i="81"/>
  <c r="N44" i="36"/>
  <c r="L61" i="74"/>
  <c r="I51" i="63"/>
  <c r="L76" i="47"/>
  <c r="L88" i="54"/>
  <c r="CL64" i="3"/>
  <c r="O15" i="35"/>
  <c r="F19" i="67"/>
  <c r="J7" i="26"/>
  <c r="J47" i="79"/>
  <c r="L54" i="90"/>
  <c r="N68" i="66"/>
  <c r="G86" i="39"/>
  <c r="I55" i="58"/>
  <c r="J85" i="54"/>
  <c r="M38" i="26"/>
  <c r="O74" i="92"/>
  <c r="I103" i="85"/>
  <c r="L104" i="39"/>
  <c r="I37" i="73"/>
  <c r="O47" i="80"/>
  <c r="O59" i="58"/>
  <c r="E35" i="52"/>
  <c r="N22" i="51"/>
  <c r="F29" i="87"/>
  <c r="J98" i="25"/>
  <c r="O37" i="66"/>
  <c r="O14" i="46"/>
  <c r="E76" i="39"/>
  <c r="O13" i="66"/>
  <c r="M80" i="40"/>
  <c r="J91" i="69"/>
  <c r="F10" i="72"/>
  <c r="I86" i="61"/>
  <c r="I71" i="50"/>
  <c r="K101" i="90"/>
  <c r="G15" i="92"/>
  <c r="N39" i="93"/>
  <c r="J65" i="60"/>
  <c r="D100" i="55"/>
  <c r="L43" i="33"/>
  <c r="L11" i="36"/>
  <c r="K35" i="87"/>
  <c r="D86" i="38"/>
  <c r="G44" i="41"/>
  <c r="K32" i="30"/>
  <c r="E55" i="32"/>
  <c r="I73" i="35"/>
  <c r="K6" i="93"/>
  <c r="N49" i="47"/>
  <c r="D77" i="34"/>
  <c r="K7" i="30"/>
  <c r="H58" i="91"/>
  <c r="E85" i="71"/>
  <c r="M46" i="66"/>
  <c r="L10" i="82"/>
  <c r="O25" i="56"/>
  <c r="E29" i="50"/>
  <c r="E10" i="78"/>
  <c r="M11" i="35"/>
  <c r="E52" i="64"/>
  <c r="J52" i="39"/>
  <c r="N48" i="41"/>
  <c r="M67" i="71"/>
  <c r="K45" i="69"/>
  <c r="G22" i="75"/>
  <c r="L86" i="35"/>
  <c r="H6" i="51"/>
  <c r="L11" i="26"/>
  <c r="F10" i="86"/>
  <c r="H39" i="83"/>
  <c r="L28" i="93"/>
  <c r="E53" i="76"/>
  <c r="M18" i="73"/>
  <c r="L97" i="69"/>
  <c r="F65"/>
  <c r="M27" i="93"/>
  <c r="K35" i="69"/>
  <c r="D52" i="74"/>
  <c r="E80" i="77"/>
  <c r="E30" i="67"/>
  <c r="I55" i="64"/>
  <c r="J95"/>
  <c r="D92" i="57"/>
  <c r="L16" i="81"/>
  <c r="D14" i="45"/>
  <c r="L64" i="61"/>
  <c r="I12" i="35"/>
  <c r="E91" i="59"/>
  <c r="K88" i="30"/>
  <c r="F24" i="74"/>
  <c r="G31" i="94"/>
  <c r="J4" i="47"/>
  <c r="O15" i="90"/>
  <c r="M92" i="55"/>
  <c r="F10" i="50"/>
  <c r="K77" i="48"/>
  <c r="N54" i="32"/>
  <c r="N18" i="72"/>
  <c r="I13" i="68"/>
  <c r="M23" i="51"/>
  <c r="K77" i="75"/>
  <c r="K17" i="44"/>
  <c r="D47" i="71"/>
  <c r="L8" i="30"/>
  <c r="H89" i="81"/>
  <c r="F54" i="80"/>
  <c r="I30" i="76"/>
  <c r="E49" i="84"/>
  <c r="M97" i="78"/>
  <c r="G62" i="80"/>
  <c r="O95" i="89"/>
  <c r="I47" i="49"/>
  <c r="G39" i="65"/>
  <c r="O12" i="57"/>
  <c r="O103" i="41"/>
  <c r="G19" i="80"/>
  <c r="N16" i="58"/>
  <c r="M55" i="77"/>
  <c r="N39" i="83"/>
  <c r="H56" i="30"/>
  <c r="I92" i="73"/>
  <c r="O76" i="60"/>
  <c r="K95" i="86"/>
  <c r="N10" i="29"/>
  <c r="H14" i="39"/>
  <c r="K46" i="60"/>
  <c r="F57" i="79"/>
  <c r="G13" i="74"/>
  <c r="E59" i="59"/>
  <c r="D5" i="91"/>
  <c r="I54" i="51"/>
  <c r="N95" i="67"/>
  <c r="G62" i="64"/>
  <c r="J26" i="87"/>
  <c r="J88" i="83"/>
  <c r="G36" i="46"/>
  <c r="N85" i="45"/>
  <c r="N41" i="73"/>
  <c r="H21" i="69"/>
  <c r="N18" i="71"/>
  <c r="D71" i="94"/>
  <c r="M73" i="40"/>
  <c r="I100" i="56"/>
  <c r="J40" i="78"/>
  <c r="E41" i="86"/>
  <c r="L8" i="51"/>
  <c r="G53" i="93"/>
  <c r="H6" i="50"/>
  <c r="J27" i="76"/>
  <c r="H24" i="46"/>
  <c r="O64" i="43"/>
  <c r="H6" i="85"/>
  <c r="E24" i="75"/>
  <c r="G51" i="45"/>
  <c r="E36" i="41"/>
  <c r="M61" i="72"/>
  <c r="D34" i="29"/>
  <c r="J57" i="70"/>
  <c r="L26" i="86"/>
  <c r="E71" i="26"/>
  <c r="I42" i="39"/>
  <c r="M22" i="82"/>
  <c r="H101" i="30"/>
  <c r="D85" i="74"/>
  <c r="K107" i="44"/>
  <c r="M11" i="77"/>
  <c r="L103" i="94"/>
  <c r="O76" i="45"/>
  <c r="M48" i="93"/>
  <c r="L11" i="78"/>
  <c r="L24" i="51"/>
  <c r="E80" i="49"/>
  <c r="O104" i="46"/>
  <c r="F9" i="94"/>
  <c r="M62" i="78"/>
  <c r="G68" i="34"/>
  <c r="N51" i="51"/>
  <c r="O53" i="57"/>
  <c r="D46" i="30"/>
  <c r="K50" i="75"/>
  <c r="J41" i="82"/>
  <c r="O51" i="59"/>
  <c r="D7" i="33"/>
  <c r="O30" i="70"/>
  <c r="O28" i="46"/>
  <c r="K25" i="84"/>
  <c r="J53" i="38"/>
  <c r="H15" i="43"/>
  <c r="CE37" i="3" s="1"/>
  <c r="O13" i="44"/>
  <c r="F12" i="64"/>
  <c r="O103" i="46"/>
  <c r="O36" i="78"/>
  <c r="M62" i="73"/>
  <c r="G91" i="51"/>
  <c r="J48" i="74"/>
  <c r="B9" i="97"/>
  <c r="M61" i="74"/>
  <c r="J85" i="46"/>
  <c r="K6" i="55"/>
  <c r="D32" i="29"/>
  <c r="O106" i="83"/>
  <c r="G17" i="30"/>
  <c r="L18" i="83"/>
  <c r="K21" i="26"/>
  <c r="G30" i="83"/>
  <c r="L50" i="78"/>
  <c r="L56" i="92"/>
  <c r="G79" i="91"/>
  <c r="M65" i="90"/>
  <c r="L67" i="29"/>
  <c r="K76" i="61"/>
  <c r="O19" i="49"/>
  <c r="J51" i="93"/>
  <c r="L48" i="69"/>
  <c r="F94" i="41"/>
  <c r="K9" i="22"/>
  <c r="J100" i="94"/>
  <c r="CG61" i="3"/>
  <c r="K82" i="46"/>
  <c r="K48" i="59"/>
  <c r="J39" i="55"/>
  <c r="H36" i="35"/>
  <c r="L94" i="91"/>
  <c r="K49" i="83"/>
  <c r="I91" i="46"/>
  <c r="L53" i="61"/>
  <c r="I55" i="86"/>
  <c r="L28" i="47"/>
  <c r="L88" i="78"/>
  <c r="O86" i="65"/>
  <c r="F31" i="34"/>
  <c r="K16" i="43"/>
  <c r="D29" i="44"/>
  <c r="D23" i="91"/>
  <c r="O7"/>
  <c r="F61" i="77"/>
  <c r="H46" i="53"/>
  <c r="H48" i="72"/>
  <c r="D98" i="26"/>
  <c r="G13" i="40"/>
  <c r="L12" i="47"/>
  <c r="O26" i="45"/>
  <c r="E43" i="60"/>
  <c r="J12" i="32"/>
  <c r="F83" i="43"/>
  <c r="M95" i="55"/>
  <c r="N5" i="62"/>
  <c r="J14" i="93"/>
  <c r="E37" i="85"/>
  <c r="F101" i="78"/>
  <c r="G41" i="71"/>
  <c r="H97" i="75"/>
  <c r="F28" i="34"/>
  <c r="D12" i="94"/>
  <c r="K71" i="30"/>
  <c r="D92" i="64"/>
  <c r="H27" i="32"/>
  <c r="L79" i="49"/>
  <c r="K70" i="63"/>
  <c r="F22" i="82"/>
  <c r="I42" i="51"/>
  <c r="O24" i="40"/>
  <c r="I7" i="91"/>
  <c r="D15"/>
  <c r="O101" i="89"/>
  <c r="K103" i="70"/>
  <c r="K40" i="77"/>
  <c r="D38" i="33"/>
  <c r="G19" i="71"/>
  <c r="F25" i="92"/>
  <c r="D33" i="85"/>
  <c r="J7" i="94"/>
  <c r="E12" i="43"/>
  <c r="J52"/>
  <c r="I77" i="38"/>
  <c r="H5" i="76"/>
  <c r="J21" i="19"/>
  <c r="G11" i="67"/>
  <c r="D89" i="84"/>
  <c r="K76" i="54"/>
  <c r="F38" i="33"/>
  <c r="J16" i="61"/>
  <c r="I71" i="75"/>
  <c r="E23" i="58"/>
  <c r="H25" i="80"/>
  <c r="N46" i="33"/>
  <c r="N77" i="19"/>
  <c r="H11" i="62"/>
  <c r="N33" i="61"/>
  <c r="E68" i="43"/>
  <c r="E101" i="29"/>
  <c r="D32" i="67"/>
  <c r="J12" i="56"/>
  <c r="N53" i="73"/>
  <c r="D95" i="57"/>
  <c r="K24" i="94"/>
  <c r="J91" i="83"/>
  <c r="J73" i="84"/>
  <c r="I10" i="54"/>
  <c r="D88" i="86"/>
  <c r="D101" i="58"/>
  <c r="D89" i="87"/>
  <c r="E67" i="63"/>
  <c r="L67" i="91"/>
  <c r="I12" i="80"/>
  <c r="F30" i="86"/>
  <c r="L74" i="63"/>
  <c r="O88" i="59"/>
  <c r="I51" i="41"/>
  <c r="E51" i="56"/>
  <c r="D62" i="87"/>
  <c r="N101" i="59"/>
  <c r="D51" i="58"/>
  <c r="J82" i="94"/>
  <c r="E21" i="69"/>
  <c r="L15" i="90"/>
  <c r="H52" i="59"/>
  <c r="L23" i="73"/>
  <c r="H22" i="81"/>
  <c r="K25" i="19"/>
  <c r="CH47" i="3" s="1"/>
  <c r="J80" i="71"/>
  <c r="J7" i="79"/>
  <c r="H33" i="63"/>
  <c r="E39" i="70"/>
  <c r="G54" i="38"/>
  <c r="H7" i="34"/>
  <c r="E46" i="64"/>
  <c r="K32" i="19"/>
  <c r="L98" i="46"/>
  <c r="O106" i="58"/>
  <c r="E64" i="53"/>
  <c r="N103" i="61"/>
  <c r="D41" i="86"/>
  <c r="F8" i="19"/>
  <c r="G56" i="80"/>
  <c r="M21" i="69"/>
  <c r="H95" i="40"/>
  <c r="G43" i="61"/>
  <c r="M22" i="30"/>
  <c r="D23" i="78"/>
  <c r="J10" i="71"/>
  <c r="D91" i="38"/>
  <c r="L88" i="62"/>
  <c r="D106" i="47"/>
  <c r="O39" i="19"/>
  <c r="H107" i="40"/>
  <c r="E22" i="90"/>
  <c r="H73" i="81"/>
  <c r="F37" i="65"/>
  <c r="E27" i="80"/>
  <c r="M48"/>
  <c r="I49" i="25"/>
  <c r="H9" i="65"/>
  <c r="D54" i="54"/>
  <c r="I42" i="75"/>
  <c r="H56" i="53"/>
  <c r="I22" i="49"/>
  <c r="E76" i="36"/>
  <c r="G89" i="81"/>
  <c r="I10" i="32"/>
  <c r="O97" i="29"/>
  <c r="G27" i="38"/>
  <c r="H74" i="93"/>
  <c r="M32" i="39"/>
  <c r="J94" i="63"/>
  <c r="F14" i="41"/>
  <c r="L15"/>
  <c r="K10" i="57"/>
  <c r="K10" i="93"/>
  <c r="E107" i="86"/>
  <c r="M106" i="61"/>
  <c r="J18" i="55"/>
  <c r="J83" i="29"/>
  <c r="G6" i="39"/>
  <c r="J16" i="50"/>
  <c r="N48" i="75"/>
  <c r="G106" i="35"/>
  <c r="I33" i="36"/>
  <c r="D49" i="75"/>
  <c r="L82" i="53"/>
  <c r="K53" i="82"/>
  <c r="H36" i="69"/>
  <c r="L88" i="63"/>
  <c r="H7" i="38"/>
  <c r="I59" i="80"/>
  <c r="K76" i="44"/>
  <c r="G19" i="19"/>
  <c r="M55" i="78"/>
  <c r="N40" i="39"/>
  <c r="CF67" i="3"/>
  <c r="F49" i="81"/>
  <c r="E38" i="86"/>
  <c r="D103" i="69"/>
  <c r="I36" i="29"/>
  <c r="N44" i="47"/>
  <c r="M32" i="92"/>
  <c r="H48" i="80"/>
  <c r="M31" i="77"/>
  <c r="I65" i="47"/>
  <c r="M51" i="81"/>
  <c r="E9" i="43"/>
  <c r="F25" i="89"/>
  <c r="E100" i="66"/>
  <c r="J4" i="94"/>
  <c r="N70" i="25"/>
  <c r="I29" i="90"/>
  <c r="E71" i="39"/>
  <c r="M53" i="80"/>
  <c r="K10" i="66"/>
  <c r="K31" i="45"/>
  <c r="N41" i="33"/>
  <c r="H50" i="58"/>
  <c r="G95" i="85"/>
  <c r="J62" i="80"/>
  <c r="O67" i="19"/>
  <c r="G73" i="35"/>
  <c r="O14" i="83"/>
  <c r="F101" i="60"/>
  <c r="L50" i="64"/>
  <c r="F17" i="70"/>
  <c r="D16" i="56"/>
  <c r="O91" i="33"/>
  <c r="F103" i="64"/>
  <c r="E61" i="44"/>
  <c r="G48" i="54"/>
  <c r="E42" i="91"/>
  <c r="N44" i="56"/>
  <c r="O37" i="91"/>
  <c r="J37" i="56"/>
  <c r="H107" i="67"/>
  <c r="I10" i="92"/>
  <c r="F91" i="79"/>
  <c r="G37" i="82"/>
  <c r="D26" i="53"/>
  <c r="J10" i="55"/>
  <c r="N59" i="27"/>
  <c r="M71" i="29"/>
  <c r="F31" i="72"/>
  <c r="E71" i="29"/>
  <c r="H43" i="77"/>
  <c r="N21" i="70"/>
  <c r="I97" i="39"/>
  <c r="K37" i="64"/>
  <c r="H68" i="85"/>
  <c r="I76" i="68"/>
  <c r="H98" i="80"/>
  <c r="I74" i="55"/>
  <c r="I8" i="35"/>
  <c r="I95" i="93"/>
  <c r="K41" i="49"/>
  <c r="L80" i="54"/>
  <c r="N23" i="73"/>
  <c r="J33" i="35"/>
  <c r="O36" i="76"/>
  <c r="N57" i="38"/>
  <c r="K47" i="71"/>
  <c r="D80" i="19"/>
  <c r="F10" i="97" s="1"/>
  <c r="G23" i="59"/>
  <c r="D39" i="69"/>
  <c r="K5" i="61"/>
  <c r="K8" i="74"/>
  <c r="J86" i="64"/>
  <c r="J26" i="67"/>
  <c r="E8" i="30"/>
  <c r="L94" i="48"/>
  <c r="H30" i="43"/>
  <c r="F80" i="30"/>
  <c r="E71" i="89"/>
  <c r="J12" i="50"/>
  <c r="I4" i="83"/>
  <c r="J46" i="59"/>
  <c r="O56" i="25"/>
  <c r="F67" i="81"/>
  <c r="L80" i="86"/>
  <c r="H55" i="43"/>
  <c r="H12" i="81"/>
  <c r="H52" i="58"/>
  <c r="F88" i="26"/>
  <c r="E94" i="52"/>
  <c r="G15" i="33"/>
  <c r="K92" i="66"/>
  <c r="J89" i="92"/>
  <c r="F37" i="52"/>
  <c r="F26" i="36"/>
  <c r="N100" i="67"/>
  <c r="N104" i="65"/>
  <c r="O57" i="87"/>
  <c r="F89" i="85"/>
  <c r="M101" i="69"/>
  <c r="J22" i="56"/>
  <c r="F67" i="40"/>
  <c r="F12" i="55"/>
  <c r="H107" i="59"/>
  <c r="I29" i="45"/>
  <c r="H98" i="60"/>
  <c r="G29" i="61"/>
  <c r="L20" i="81"/>
  <c r="H86" i="85"/>
  <c r="H10" i="80"/>
  <c r="G4" i="55"/>
  <c r="F82" i="54"/>
  <c r="J76" i="80"/>
  <c r="E71" i="77"/>
  <c r="D38" i="42"/>
  <c r="L17" i="45"/>
  <c r="I67" i="57"/>
  <c r="I27" i="44"/>
  <c r="O9" i="77"/>
  <c r="N25" i="39"/>
  <c r="D40" i="49"/>
  <c r="H74" i="74"/>
  <c r="N91" i="38"/>
  <c r="N36" i="29"/>
  <c r="H20" i="65"/>
  <c r="J36" i="90"/>
  <c r="F64" i="69"/>
  <c r="E50" i="46"/>
  <c r="I27" i="76"/>
  <c r="G95" i="64"/>
  <c r="E18" i="53"/>
  <c r="G25" i="52"/>
  <c r="J19" i="44"/>
  <c r="N97" i="56"/>
  <c r="F53" i="36"/>
  <c r="L46" i="29"/>
  <c r="K11" i="77"/>
  <c r="O49" i="44"/>
  <c r="N26" i="71"/>
  <c r="H21" i="29"/>
  <c r="H22" i="39"/>
  <c r="F46" i="30"/>
  <c r="J38" i="33"/>
  <c r="L54" i="62"/>
  <c r="H14" i="35"/>
  <c r="F40" i="36"/>
  <c r="J88" i="55"/>
  <c r="I9" i="53"/>
  <c r="L58" i="93"/>
  <c r="O44" i="32"/>
  <c r="D106" i="76"/>
  <c r="I20" i="54"/>
  <c r="N89" i="61"/>
  <c r="E4" i="40"/>
  <c r="N14" i="34"/>
  <c r="D18" i="33"/>
  <c r="I67" i="46"/>
  <c r="N92" i="71"/>
  <c r="G22" i="36"/>
  <c r="K19" i="57"/>
  <c r="E36" i="19"/>
  <c r="D30" i="78"/>
  <c r="M45" i="55"/>
  <c r="J38" i="35"/>
  <c r="G27" i="30"/>
  <c r="I5" i="29"/>
  <c r="J70" i="73"/>
  <c r="N26" i="93"/>
  <c r="F64" i="68"/>
  <c r="J83" i="36"/>
  <c r="J12" i="86"/>
  <c r="M27" i="70"/>
  <c r="F97" i="48"/>
  <c r="K68" i="63"/>
  <c r="M37" i="35"/>
  <c r="M52" i="39"/>
  <c r="G34" i="25"/>
  <c r="H51" i="46"/>
  <c r="D40" i="83"/>
  <c r="E40" i="49"/>
  <c r="G42" i="34"/>
  <c r="D7" i="51"/>
  <c r="G14" i="93"/>
  <c r="F68" i="54"/>
  <c r="G11" i="90"/>
  <c r="D61" i="50"/>
  <c r="O16" i="66"/>
  <c r="F20" i="40"/>
  <c r="E7" i="44"/>
  <c r="O106" i="70"/>
  <c r="L20" i="75"/>
  <c r="L74" i="94"/>
  <c r="L53" i="83"/>
  <c r="D26" i="61"/>
  <c r="E106" i="57"/>
  <c r="F82" i="27"/>
  <c r="I19" i="38"/>
  <c r="D24" i="93"/>
  <c r="D107" i="35"/>
  <c r="J61" i="58"/>
  <c r="L35" i="77"/>
  <c r="M56" i="78"/>
  <c r="D54" i="36"/>
  <c r="E68" i="76"/>
  <c r="H50" i="55"/>
  <c r="E97" i="53"/>
  <c r="M59" i="25"/>
  <c r="K58" i="48"/>
  <c r="O7" i="84"/>
  <c r="I31" i="25"/>
  <c r="L65" i="33"/>
  <c r="D101" i="60"/>
  <c r="K32" i="73"/>
  <c r="M50" i="62"/>
  <c r="E70" i="65"/>
  <c r="I107" i="49"/>
  <c r="K13" i="63"/>
  <c r="D51" i="77"/>
  <c r="L71" i="41"/>
  <c r="N17" i="62"/>
  <c r="E41" i="92"/>
  <c r="I35" i="80"/>
  <c r="K51" i="82"/>
  <c r="J26" i="54"/>
  <c r="M61" i="90"/>
  <c r="M56" i="68"/>
  <c r="D13" i="74"/>
  <c r="O28" i="41"/>
  <c r="D76" i="73"/>
  <c r="H11" i="39"/>
  <c r="E46" i="63"/>
  <c r="I49" i="48"/>
  <c r="N67" i="26"/>
  <c r="O35" i="30"/>
  <c r="K94" i="65"/>
  <c r="K17" i="51"/>
  <c r="L26" i="62"/>
  <c r="M86" i="36"/>
  <c r="G7" i="66"/>
  <c r="I12"/>
  <c r="O41" i="57"/>
  <c r="K17" i="19"/>
  <c r="L13" i="60"/>
  <c r="K74" i="29"/>
  <c r="K30" i="53"/>
  <c r="H7" i="40"/>
  <c r="G25" i="48"/>
  <c r="J17" i="87"/>
  <c r="K48" i="61"/>
  <c r="H82" i="73"/>
  <c r="N100" i="53"/>
  <c r="H46" i="72"/>
  <c r="N30" i="57"/>
  <c r="K70" i="49"/>
  <c r="L37" i="73"/>
  <c r="I49" i="62"/>
  <c r="D55" i="39"/>
  <c r="K79" i="30"/>
  <c r="K94" i="19"/>
  <c r="I97" i="65"/>
  <c r="I11" i="71"/>
  <c r="I13" i="70"/>
  <c r="N83" i="69"/>
  <c r="M16" i="44"/>
  <c r="M29" i="59"/>
  <c r="J13" i="25"/>
  <c r="H19" i="66"/>
  <c r="I21" i="52"/>
  <c r="J88" i="90"/>
  <c r="E65" i="38"/>
  <c r="I76" i="39"/>
  <c r="M37" i="61"/>
  <c r="I39" i="41"/>
  <c r="N4" i="68"/>
  <c r="K6" i="83"/>
  <c r="E52" i="39"/>
  <c r="I101" i="91"/>
  <c r="L40" i="57"/>
  <c r="G100" i="36"/>
  <c r="E11" i="93"/>
  <c r="D83" i="47"/>
  <c r="G37" i="48"/>
  <c r="F54" i="76"/>
  <c r="L6" i="43"/>
  <c r="G13" i="38"/>
  <c r="O49" i="36"/>
  <c r="F7" i="89"/>
  <c r="G83" i="93"/>
  <c r="G74" i="84"/>
  <c r="L30" i="34"/>
  <c r="H62" i="79"/>
  <c r="O4" i="57"/>
  <c r="M33" i="91"/>
  <c r="H21" i="52"/>
  <c r="K54" i="33"/>
  <c r="F27" i="89"/>
  <c r="F22" i="29"/>
  <c r="K65" i="63"/>
  <c r="O70" i="78"/>
  <c r="J27" i="27"/>
  <c r="G73" i="77"/>
  <c r="K43" i="70"/>
  <c r="O45" i="39"/>
  <c r="G76" i="19"/>
  <c r="F18" i="94"/>
  <c r="G40" i="40"/>
  <c r="E98" i="47"/>
  <c r="J38" i="30"/>
  <c r="J95" i="26"/>
  <c r="D76" i="54"/>
  <c r="M59" i="55"/>
  <c r="E37" i="65"/>
  <c r="I20" i="57"/>
  <c r="L71" i="46"/>
  <c r="D4" i="52"/>
  <c r="I27" i="35"/>
  <c r="M31" i="84"/>
  <c r="F94" i="77"/>
  <c r="X14" i="96"/>
  <c r="N25" i="26"/>
  <c r="F86" i="72"/>
  <c r="M15" i="94"/>
  <c r="D91" i="30"/>
  <c r="J20" i="72"/>
  <c r="O91" i="86"/>
  <c r="K62" i="40"/>
  <c r="M74" i="26"/>
  <c r="K51" i="62"/>
  <c r="E16" i="70"/>
  <c r="M48" i="44"/>
  <c r="O95" i="70"/>
  <c r="I51" i="83"/>
  <c r="E8" i="48"/>
  <c r="I85" i="49"/>
  <c r="E100" i="33"/>
  <c r="M70" i="56"/>
  <c r="F65" i="41"/>
  <c r="O16" i="62"/>
  <c r="F29" i="54"/>
  <c r="F86" i="55"/>
  <c r="L11" i="47"/>
  <c r="H59" i="85"/>
  <c r="G83" i="76"/>
  <c r="I86"/>
  <c r="K55" i="46"/>
  <c r="I61" i="90"/>
  <c r="J25" i="51"/>
  <c r="N31" i="32"/>
  <c r="F53" i="76"/>
  <c r="J13" i="82"/>
  <c r="E48" i="89"/>
  <c r="E85" i="43"/>
  <c r="O18" i="62"/>
  <c r="N31" i="94"/>
  <c r="D62" i="30"/>
  <c r="N70" i="87"/>
  <c r="D65" i="19"/>
  <c r="F59" i="74"/>
  <c r="I68" i="83"/>
  <c r="O100" i="46"/>
  <c r="I44" i="65"/>
  <c r="F32" i="57"/>
  <c r="D57" i="84"/>
  <c r="H70" i="50"/>
  <c r="M15" i="44"/>
  <c r="H49" i="38"/>
  <c r="M103" i="30"/>
  <c r="L38" i="33"/>
  <c r="H26" i="40"/>
  <c r="CI37" i="3"/>
  <c r="H49" i="49"/>
  <c r="E74" i="66"/>
  <c r="C11" i="22"/>
  <c r="H40" i="62"/>
  <c r="K67" i="70"/>
  <c r="K34" i="81"/>
  <c r="G42" i="33"/>
  <c r="E56" i="43"/>
  <c r="J85" i="78"/>
  <c r="O53" i="36"/>
  <c r="D64" i="58"/>
  <c r="G68" i="47"/>
  <c r="N88" i="76"/>
  <c r="E29" i="57"/>
  <c r="L101" i="75"/>
  <c r="K7" i="35"/>
  <c r="D43" i="19"/>
  <c r="K39" i="59"/>
  <c r="O23" i="89"/>
  <c r="H54" i="49"/>
  <c r="H4" i="55"/>
  <c r="F107" i="53"/>
  <c r="L73" i="19"/>
  <c r="J49" i="86"/>
  <c r="O56" i="64"/>
  <c r="I49" i="40"/>
  <c r="M25" i="91"/>
  <c r="L95" i="59"/>
  <c r="I47" i="55"/>
  <c r="N40" i="49"/>
  <c r="H100" i="59"/>
  <c r="F21" i="44"/>
  <c r="I47" i="35"/>
  <c r="K18" i="51"/>
  <c r="N28" i="19"/>
  <c r="CK50" i="3" s="1"/>
  <c r="L106" i="60"/>
  <c r="E65" i="87"/>
  <c r="I14" i="59"/>
  <c r="J15" i="93"/>
  <c r="G20" i="83"/>
  <c r="H42" i="80"/>
  <c r="H42" i="55"/>
  <c r="K36" i="41"/>
  <c r="G101" i="25"/>
  <c r="L97" i="74"/>
  <c r="L92" i="51"/>
  <c r="F40" i="39"/>
  <c r="K70" i="80"/>
  <c r="O57" i="91"/>
  <c r="H17" i="48"/>
  <c r="D77" i="50"/>
  <c r="G21" i="34"/>
  <c r="K77" i="39"/>
  <c r="N18" i="43"/>
  <c r="H107" i="81"/>
  <c r="E80" i="39"/>
  <c r="G46" i="74"/>
  <c r="H14" i="66"/>
  <c r="I73" i="42"/>
  <c r="I59" i="58"/>
  <c r="O95" i="49"/>
  <c r="J40" i="48"/>
  <c r="D47" i="84"/>
  <c r="H54" i="56"/>
  <c r="O88" i="93"/>
  <c r="G36" i="81"/>
  <c r="L31" i="77"/>
  <c r="J79" i="38"/>
  <c r="CE33" i="3"/>
  <c r="K103" i="67"/>
  <c r="D21" i="53"/>
  <c r="J77" i="82"/>
  <c r="H10" i="47"/>
  <c r="F13" i="87"/>
  <c r="F43" i="47"/>
  <c r="F45" i="68"/>
  <c r="D56" i="72"/>
  <c r="M6" i="67"/>
  <c r="F32" i="44"/>
  <c r="J103" i="25"/>
  <c r="F97" i="59"/>
  <c r="M15" i="29"/>
  <c r="G23" i="48"/>
  <c r="L5" i="81"/>
  <c r="D89" i="27"/>
  <c r="L83" i="39"/>
  <c r="H19" i="62"/>
  <c r="M15" i="81"/>
  <c r="H76" i="86"/>
  <c r="D71" i="27"/>
  <c r="I4" i="34"/>
  <c r="L19" i="29"/>
  <c r="K33" i="25"/>
  <c r="L86" i="36"/>
  <c r="H76" i="84"/>
  <c r="F58" i="32"/>
  <c r="F89" i="34"/>
  <c r="H39" i="55"/>
  <c r="H82" i="67"/>
  <c r="F104" i="33"/>
  <c r="H42" i="78"/>
  <c r="K29" i="57"/>
  <c r="L23" i="55"/>
  <c r="J79" i="46"/>
  <c r="L24" i="77"/>
  <c r="H17" i="47"/>
  <c r="N95" i="58"/>
  <c r="N56" i="66"/>
  <c r="N38" i="34"/>
  <c r="H18" i="36"/>
  <c r="N17" i="92"/>
  <c r="F79" i="38"/>
  <c r="J58" i="34"/>
  <c r="G28" i="61"/>
  <c r="O65" i="34"/>
  <c r="F33" i="49"/>
  <c r="L62" i="38"/>
  <c r="L12" i="77"/>
  <c r="F41" i="46"/>
  <c r="O95" i="34"/>
  <c r="N77" i="49"/>
  <c r="H79" i="68"/>
  <c r="N104" i="36"/>
  <c r="D11" i="77"/>
  <c r="G74" i="30"/>
  <c r="E6" i="80"/>
  <c r="J21" i="34"/>
  <c r="O97" i="73"/>
  <c r="K83" i="76"/>
  <c r="E85" i="85"/>
  <c r="I21" i="80"/>
  <c r="L55" i="48"/>
  <c r="D89" i="83"/>
  <c r="K107" i="57"/>
  <c r="H62" i="91"/>
  <c r="O22" i="57"/>
  <c r="E56" i="45"/>
  <c r="G55" i="48"/>
  <c r="M32" i="34"/>
  <c r="E25" i="35"/>
  <c r="E22" i="57"/>
  <c r="N80" i="49"/>
  <c r="J52" i="46"/>
  <c r="E62" i="49"/>
  <c r="N25" i="78"/>
  <c r="K8" i="73"/>
  <c r="E39" i="53"/>
  <c r="O64" i="93"/>
  <c r="G68" i="63"/>
  <c r="J107" i="50"/>
  <c r="E56" i="55"/>
  <c r="E62" i="94"/>
  <c r="E59" i="67"/>
  <c r="K36" i="83"/>
  <c r="K56" i="66"/>
  <c r="I97" i="63"/>
  <c r="L4" i="30"/>
  <c r="F7" i="49"/>
  <c r="E61" i="64"/>
  <c r="I50" i="25"/>
  <c r="M50" i="58"/>
  <c r="D33" i="74"/>
  <c r="I43" i="73"/>
  <c r="F8" i="46"/>
  <c r="J62" i="69"/>
  <c r="N47" i="83"/>
  <c r="H38" i="56"/>
  <c r="L100"/>
  <c r="J16" i="78"/>
  <c r="O58" i="67"/>
  <c r="K88" i="70"/>
  <c r="G41" i="27"/>
  <c r="H12" i="33"/>
  <c r="J49" i="76"/>
  <c r="J22" i="83"/>
  <c r="J97" i="40"/>
  <c r="I29" i="33"/>
  <c r="K17" i="92"/>
  <c r="F97" i="75"/>
  <c r="L27" i="54"/>
  <c r="H100" i="79"/>
  <c r="K52" i="65"/>
  <c r="I38" i="83"/>
  <c r="D19" i="54"/>
  <c r="J101" i="19"/>
  <c r="I83" i="61"/>
  <c r="E33" i="48"/>
  <c r="E92" i="91"/>
  <c r="N55" i="26"/>
  <c r="L19" i="39"/>
  <c r="H67" i="94"/>
  <c r="J41" i="68"/>
  <c r="E82" i="38"/>
  <c r="L86" i="27"/>
  <c r="K20" i="51"/>
  <c r="J95" i="92"/>
  <c r="D44" i="59"/>
  <c r="L64" i="27"/>
  <c r="O17" i="62"/>
  <c r="O41" i="36"/>
  <c r="K101" i="67"/>
  <c r="I47" i="75"/>
  <c r="G26" i="49"/>
  <c r="D28" i="19"/>
  <c r="H11" i="76"/>
  <c r="M106" i="39"/>
  <c r="K67" i="86"/>
  <c r="H64" i="33"/>
  <c r="I70" i="75"/>
  <c r="H42" i="30"/>
  <c r="G92" i="84"/>
  <c r="H55" i="61"/>
  <c r="E77" i="78"/>
  <c r="K85" i="49"/>
  <c r="K4" i="62"/>
  <c r="D13" i="84"/>
  <c r="I22" i="68"/>
  <c r="G4" i="78"/>
  <c r="I40" i="47"/>
  <c r="O62" i="63"/>
  <c r="K31" i="69"/>
  <c r="H29" i="73"/>
  <c r="M40" i="35"/>
  <c r="I34" i="30"/>
  <c r="I106" i="81"/>
  <c r="J82" i="57"/>
  <c r="G10" i="89"/>
  <c r="N30" i="29"/>
  <c r="N23" i="92"/>
  <c r="H16" i="59"/>
  <c r="F10" i="67"/>
  <c r="N103" i="73"/>
  <c r="D32" i="53"/>
  <c r="E38" i="51"/>
  <c r="E33" i="73"/>
  <c r="E85" i="61"/>
  <c r="H43" i="56"/>
  <c r="I9" i="33"/>
  <c r="L34" i="36"/>
  <c r="O33" i="86"/>
  <c r="E21" i="39"/>
  <c r="F7" i="60"/>
  <c r="O91" i="91"/>
  <c r="E35" i="33"/>
  <c r="K88" i="64"/>
  <c r="G17" i="76"/>
  <c r="G100" i="90"/>
  <c r="L53" i="33"/>
  <c r="F45" i="63"/>
  <c r="O103" i="30"/>
  <c r="L43" i="47"/>
  <c r="L38" i="57"/>
  <c r="D18" i="74"/>
  <c r="O79" i="29"/>
  <c r="N14" i="87"/>
  <c r="F25" i="72"/>
  <c r="M17" i="29"/>
  <c r="N13" i="26"/>
  <c r="H6" i="62"/>
  <c r="H100" i="47"/>
  <c r="N35" i="55"/>
  <c r="O82" i="48"/>
  <c r="H43" i="81"/>
  <c r="E52" i="19"/>
  <c r="E16" i="34"/>
  <c r="J12" i="58"/>
  <c r="O43" i="61"/>
  <c r="G38" i="73"/>
  <c r="O30" i="60"/>
  <c r="D64" i="45"/>
  <c r="O97" i="58"/>
  <c r="D51" i="66"/>
  <c r="L80" i="61"/>
  <c r="N68" i="47"/>
  <c r="H22"/>
  <c r="F71" i="39"/>
  <c r="H98" i="52"/>
  <c r="H100" i="91"/>
  <c r="O65" i="25"/>
  <c r="J42" i="64"/>
  <c r="M106" i="38"/>
  <c r="G14" i="36"/>
  <c r="H85" i="42"/>
  <c r="N14" i="41"/>
  <c r="O33" i="19"/>
  <c r="M54" i="40"/>
  <c r="D92" i="82"/>
  <c r="M40" i="90"/>
  <c r="I53" i="46"/>
  <c r="H94" i="87"/>
  <c r="N46" i="73"/>
  <c r="D54" i="61"/>
  <c r="L50" i="93"/>
  <c r="N21" i="86"/>
  <c r="M82" i="74"/>
  <c r="O106" i="91"/>
  <c r="K70" i="65"/>
  <c r="I58" i="33"/>
  <c r="G83" i="70"/>
  <c r="I103" i="79"/>
  <c r="M104" i="82"/>
  <c r="N57" i="87"/>
  <c r="K23" i="73"/>
  <c r="J12" i="29"/>
  <c r="D7" i="64"/>
  <c r="J31" i="75"/>
  <c r="D88" i="35"/>
  <c r="H17" i="60"/>
  <c r="F50" i="56"/>
  <c r="K62" i="33"/>
  <c r="G89" i="61"/>
  <c r="G41" i="91"/>
  <c r="I53" i="76"/>
  <c r="N28" i="77"/>
  <c r="F39" i="93"/>
  <c r="G57" i="50"/>
  <c r="G41" i="53"/>
  <c r="J94" i="76"/>
  <c r="F25" i="81"/>
  <c r="E104" i="43"/>
  <c r="H101" i="68"/>
  <c r="N55" i="45"/>
  <c r="F17" i="33"/>
  <c r="G79" i="71"/>
  <c r="G40" i="42"/>
  <c r="I89" i="43"/>
  <c r="G34" i="85"/>
  <c r="N98" i="56"/>
  <c r="D106" i="72"/>
  <c r="D91" i="39"/>
  <c r="D73" i="25"/>
  <c r="L107" i="39"/>
  <c r="M5" i="91"/>
  <c r="G19" i="40"/>
  <c r="F57" i="38"/>
  <c r="G22" i="94"/>
  <c r="G43" i="86"/>
  <c r="N65" i="64"/>
  <c r="L53" i="89"/>
  <c r="O83" i="40"/>
  <c r="I31" i="36"/>
  <c r="J86" i="62"/>
  <c r="D5" i="40"/>
  <c r="K36" i="74"/>
  <c r="N64"/>
  <c r="L46" i="80"/>
  <c r="H53" i="90"/>
  <c r="G95" i="36"/>
  <c r="N20" i="29"/>
  <c r="M6" i="68"/>
  <c r="O89" i="55"/>
  <c r="H54" i="86"/>
  <c r="E94" i="79"/>
  <c r="O56" i="92"/>
  <c r="F26" i="29"/>
  <c r="H41" i="35"/>
  <c r="J70" i="74"/>
  <c r="D65" i="32"/>
  <c r="N34" i="64"/>
  <c r="E91" i="43"/>
  <c r="J97" i="70"/>
  <c r="J86" i="56"/>
  <c r="N106" i="77"/>
  <c r="F37" i="61"/>
  <c r="E33" i="40"/>
  <c r="L53" i="46"/>
  <c r="H26" i="80"/>
  <c r="G12" i="49"/>
  <c r="J11" i="33"/>
  <c r="D97" i="52"/>
  <c r="M48" i="56"/>
  <c r="I82" i="89"/>
  <c r="D54" i="56"/>
  <c r="J94" i="59"/>
  <c r="L62" i="27"/>
  <c r="J70" i="49"/>
  <c r="M14" i="57"/>
  <c r="I30" i="45"/>
  <c r="K28" i="30"/>
  <c r="I42" i="36"/>
  <c r="M97" i="58"/>
  <c r="G4" i="66"/>
  <c r="F43" i="89"/>
  <c r="N94" i="84"/>
  <c r="N20" i="76"/>
  <c r="M71" i="58"/>
  <c r="L7" i="33"/>
  <c r="O42" i="41"/>
  <c r="G36" i="62"/>
  <c r="E19" i="19"/>
  <c r="D4" i="80"/>
  <c r="E49" i="50"/>
  <c r="M50" i="84"/>
  <c r="F15" i="91"/>
  <c r="D42" i="47"/>
  <c r="E49" i="29"/>
  <c r="I27" i="25"/>
  <c r="F97" i="86"/>
  <c r="O56" i="55"/>
  <c r="I4" i="63"/>
  <c r="F41" i="82"/>
  <c r="F16" i="38"/>
  <c r="K20" i="81"/>
  <c r="M29" i="25"/>
  <c r="N29" i="89"/>
  <c r="F85" i="59"/>
  <c r="J71" i="27"/>
  <c r="H50" i="26"/>
  <c r="N26" i="29"/>
  <c r="N24" i="76"/>
  <c r="L98" i="19"/>
  <c r="E52" i="29"/>
  <c r="N8" i="26"/>
  <c r="K26"/>
  <c r="J98"/>
  <c r="D43" i="68"/>
  <c r="E107" i="79"/>
  <c r="N23" i="32"/>
  <c r="M100" i="41"/>
  <c r="N6" i="65"/>
  <c r="E39" i="39"/>
  <c r="J80" i="65"/>
  <c r="I100" i="38"/>
  <c r="O32" i="32"/>
  <c r="J74" i="33"/>
  <c r="F39"/>
  <c r="K54" i="49"/>
  <c r="M22" i="86"/>
  <c r="K95" i="89"/>
  <c r="J92" i="25"/>
  <c r="F58" i="51"/>
  <c r="M106" i="41"/>
  <c r="D42" i="49"/>
  <c r="M13" i="38"/>
  <c r="D70" i="73"/>
  <c r="E14" i="65"/>
  <c r="G98" i="44"/>
  <c r="I12" i="81"/>
  <c r="L53" i="92"/>
  <c r="L65" i="53"/>
  <c r="D39" i="29"/>
  <c r="E67" i="48"/>
  <c r="I21" i="94"/>
  <c r="M76" i="36"/>
  <c r="D97" i="59"/>
  <c r="I91" i="32"/>
  <c r="L30" i="56"/>
  <c r="D8" i="46"/>
  <c r="F47" i="80"/>
  <c r="L80" i="89"/>
  <c r="F50" i="47"/>
  <c r="J9" i="89"/>
  <c r="F57" i="85"/>
  <c r="L34" i="65"/>
  <c r="K103" i="38"/>
  <c r="J62" i="62"/>
  <c r="O62" i="30"/>
  <c r="H23" i="94"/>
  <c r="I89" i="82"/>
  <c r="N19" i="36"/>
  <c r="F76" i="80"/>
  <c r="M48" i="75"/>
  <c r="G61" i="58"/>
  <c r="H76" i="90"/>
  <c r="N11" i="59"/>
  <c r="F85" i="46"/>
  <c r="K42" i="49"/>
  <c r="G71" i="47"/>
  <c r="N19" i="86"/>
  <c r="O86" i="32"/>
  <c r="J79" i="67"/>
  <c r="F6" i="56"/>
  <c r="L58" i="83"/>
  <c r="G92" i="52"/>
  <c r="N13" i="64"/>
  <c r="D24" i="78"/>
  <c r="O59" i="87"/>
  <c r="J34" i="43"/>
  <c r="O21" i="39"/>
  <c r="E57" i="81"/>
  <c r="K62" i="65"/>
  <c r="L100" i="60"/>
  <c r="G49" i="73"/>
  <c r="F47" i="79"/>
  <c r="M85" i="64"/>
  <c r="E48" i="32"/>
  <c r="I71" i="59"/>
  <c r="F21" i="91"/>
  <c r="L31" i="94"/>
  <c r="L54" i="61"/>
  <c r="J57" i="27"/>
  <c r="M73" i="91"/>
  <c r="K106" i="44"/>
  <c r="F5" i="54"/>
  <c r="D73" i="40"/>
  <c r="L88" i="90"/>
  <c r="E12" i="50"/>
  <c r="D27" i="55"/>
  <c r="L25" i="44"/>
  <c r="E9" i="84"/>
  <c r="E92" i="82"/>
  <c r="H94" i="74"/>
  <c r="F26" i="80"/>
  <c r="M85" i="93"/>
  <c r="D35" i="60"/>
  <c r="L50" i="43"/>
  <c r="H49" i="59"/>
  <c r="D44" i="42"/>
  <c r="D56" i="61"/>
  <c r="I43" i="91"/>
  <c r="I43" i="60"/>
  <c r="H64" i="52"/>
  <c r="D17" i="76"/>
  <c r="L106" i="41"/>
  <c r="M18" i="74"/>
  <c r="L57" i="89"/>
  <c r="M35" i="30"/>
  <c r="L24" i="68"/>
  <c r="G95" i="86"/>
  <c r="O79" i="64"/>
  <c r="G74" i="66"/>
  <c r="M10" i="41"/>
  <c r="G91" i="69"/>
  <c r="L5" i="25"/>
  <c r="G25" i="85"/>
  <c r="F19" i="79"/>
  <c r="O15" i="19"/>
  <c r="J23" i="48"/>
  <c r="H4" i="77"/>
  <c r="M71" i="76"/>
  <c r="D7" i="90"/>
  <c r="F43" i="64"/>
  <c r="F9" i="60"/>
  <c r="D95" i="54"/>
  <c r="J47" i="65"/>
  <c r="E74" i="71"/>
  <c r="F17" i="51"/>
  <c r="K5" i="45"/>
  <c r="E77" i="54"/>
  <c r="O55" i="90"/>
  <c r="J59" i="30"/>
  <c r="F24" i="85"/>
  <c r="D91" i="75"/>
  <c r="J51" i="48"/>
  <c r="D5" i="66"/>
  <c r="K27"/>
  <c r="N15" i="25"/>
  <c r="J23" i="58"/>
  <c r="N91"/>
  <c r="J106" i="92"/>
  <c r="L59" i="45"/>
  <c r="F104" i="48"/>
  <c r="K35" i="84"/>
  <c r="F14" i="60"/>
  <c r="D45" i="45"/>
  <c r="L5" i="62"/>
  <c r="H47" i="53"/>
  <c r="N103" i="77"/>
  <c r="O59" i="35"/>
  <c r="L76" i="60"/>
  <c r="H29" i="78"/>
  <c r="F77" i="48"/>
  <c r="N13" i="73"/>
  <c r="F42" i="39"/>
  <c r="E24" i="54"/>
  <c r="D89" i="60"/>
  <c r="I85" i="34"/>
  <c r="K98" i="63"/>
  <c r="I51" i="89"/>
  <c r="J45" i="60"/>
  <c r="I52" i="44"/>
  <c r="J91" i="60"/>
  <c r="L94" i="55"/>
  <c r="D103" i="90"/>
  <c r="K21" i="56"/>
  <c r="G92" i="57"/>
  <c r="K97" i="56"/>
  <c r="K23" i="72"/>
  <c r="I61" i="65"/>
  <c r="F59" i="34"/>
  <c r="O49" i="40"/>
  <c r="F103" i="51"/>
  <c r="K77" i="63"/>
  <c r="D9" i="30"/>
  <c r="D50" i="83"/>
  <c r="M37" i="70"/>
  <c r="I18" i="76"/>
  <c r="CD58" i="3"/>
  <c r="I50" i="40"/>
  <c r="J36" i="25"/>
  <c r="N103" i="60"/>
  <c r="D9" i="73"/>
  <c r="D51" i="79"/>
  <c r="E101" i="58"/>
  <c r="I64" i="41"/>
  <c r="M89" i="45"/>
  <c r="F41" i="35"/>
  <c r="N92" i="60"/>
  <c r="K48" i="76"/>
  <c r="N79" i="30"/>
  <c r="L19" i="40"/>
  <c r="F61" i="78"/>
  <c r="M59" i="29"/>
  <c r="E12" i="74"/>
  <c r="J104" i="61"/>
  <c r="I100" i="74"/>
  <c r="H27" i="81"/>
  <c r="J4" i="50"/>
  <c r="J92" i="67"/>
  <c r="K9" i="89"/>
  <c r="O64" i="63"/>
  <c r="K18" i="93"/>
  <c r="F92" i="73"/>
  <c r="H103" i="40"/>
  <c r="J80" i="73"/>
  <c r="H13" i="81"/>
  <c r="K18"/>
  <c r="F58" i="38"/>
  <c r="D88" i="78"/>
  <c r="G25" i="65"/>
  <c r="D64" i="86"/>
  <c r="I50" i="66"/>
  <c r="E88" i="75"/>
  <c r="I40" i="63"/>
  <c r="M46" i="72"/>
  <c r="E56" i="93"/>
  <c r="I61"/>
  <c r="D98" i="92"/>
  <c r="F98" i="32"/>
  <c r="J89" i="39"/>
  <c r="G54" i="48"/>
  <c r="O106" i="49"/>
  <c r="I5" i="68"/>
  <c r="H21" i="51"/>
  <c r="H20" i="52"/>
  <c r="E59" i="70"/>
  <c r="E53" i="57"/>
  <c r="D98" i="47"/>
  <c r="CD26" i="3"/>
  <c r="L40" i="32"/>
  <c r="G45" i="77"/>
  <c r="O68" i="39"/>
  <c r="M32" i="71"/>
  <c r="N50" i="59"/>
  <c r="H8" i="39"/>
  <c r="E94" i="30"/>
  <c r="O91" i="84"/>
  <c r="J29" i="45"/>
  <c r="G45" i="59"/>
  <c r="G32" i="62"/>
  <c r="L71" i="93"/>
  <c r="F8" i="38"/>
  <c r="K107" i="36"/>
  <c r="D100" i="83"/>
  <c r="J34" i="48"/>
  <c r="I23" i="40"/>
  <c r="I51" i="53"/>
  <c r="J38" i="26"/>
  <c r="M14" i="62"/>
  <c r="K56" i="48"/>
  <c r="J22" i="26"/>
  <c r="K104" i="84"/>
  <c r="J48" i="19"/>
  <c r="CG70" i="3" s="1"/>
  <c r="J100" i="79"/>
  <c r="J58" i="46"/>
  <c r="H85" i="45"/>
  <c r="F46" i="36"/>
  <c r="N91" i="54"/>
  <c r="H10" i="39"/>
  <c r="F44" i="62"/>
  <c r="O9" i="58"/>
  <c r="O37" i="69"/>
  <c r="E67" i="84"/>
  <c r="M14" i="83"/>
  <c r="H57" i="64"/>
  <c r="J68" i="67"/>
  <c r="D98" i="42"/>
  <c r="F29" i="79"/>
  <c r="E35" i="80"/>
  <c r="I106" i="40"/>
  <c r="L17" i="94"/>
  <c r="D20" i="93"/>
  <c r="L43" i="55"/>
  <c r="G42" i="44"/>
  <c r="F35" i="61"/>
  <c r="H18" i="56"/>
  <c r="H39" i="68"/>
  <c r="K101" i="26"/>
  <c r="I71" i="19"/>
  <c r="M10" i="84"/>
  <c r="G46" i="86"/>
  <c r="G22" i="25"/>
  <c r="D94" i="93"/>
  <c r="K17" i="67"/>
  <c r="O86" i="87"/>
  <c r="H71" i="82"/>
  <c r="K20" i="56"/>
  <c r="I51" i="46"/>
  <c r="F80" i="36"/>
  <c r="H19" i="56"/>
  <c r="O18" i="41"/>
  <c r="O24" i="39"/>
  <c r="G74"/>
  <c r="J37" i="71"/>
  <c r="F52" i="52"/>
  <c r="G16" i="61"/>
  <c r="N35" i="64"/>
  <c r="F85" i="86"/>
  <c r="F40" i="94"/>
  <c r="N28" i="51"/>
  <c r="E36" i="59"/>
  <c r="O35" i="34"/>
  <c r="I5" i="50"/>
  <c r="O61" i="29"/>
  <c r="G64" i="27"/>
  <c r="N4" i="43"/>
  <c r="G31"/>
  <c r="K31" i="63"/>
  <c r="J16" i="57"/>
  <c r="M67" i="25"/>
  <c r="N103" i="84"/>
  <c r="N103" i="66"/>
  <c r="I26" i="92"/>
  <c r="D95" i="51"/>
  <c r="I82" i="81"/>
  <c r="E57" i="50"/>
  <c r="K21" i="90"/>
  <c r="N83" i="73"/>
  <c r="I65" i="57"/>
  <c r="L100" i="55"/>
  <c r="L79" i="30"/>
  <c r="K34" i="45"/>
  <c r="D64" i="61"/>
  <c r="M70" i="71"/>
  <c r="O61" i="49"/>
  <c r="H95" i="27"/>
  <c r="L62" i="61"/>
  <c r="E28" i="40"/>
  <c r="H59" i="35"/>
  <c r="M30" i="44"/>
  <c r="K67" i="43"/>
  <c r="N22" i="65"/>
  <c r="D101" i="66"/>
  <c r="M25" i="87"/>
  <c r="L97" i="51"/>
  <c r="E51" i="36"/>
  <c r="O103" i="60"/>
  <c r="G29" i="85"/>
  <c r="K30" i="73"/>
  <c r="K62" i="78"/>
  <c r="N42" i="36"/>
  <c r="K82" i="40"/>
  <c r="J91" i="30"/>
  <c r="G103" i="76"/>
  <c r="I19" i="39"/>
  <c r="D59" i="51"/>
  <c r="K100" i="84"/>
  <c r="N18" i="86"/>
  <c r="E64" i="34"/>
  <c r="G83" i="91"/>
  <c r="M20" i="57"/>
  <c r="N14" i="81"/>
  <c r="K62" i="77"/>
  <c r="N59" i="55"/>
  <c r="O17" i="38"/>
  <c r="M42" i="40"/>
  <c r="E25" i="34"/>
  <c r="F97" i="55"/>
  <c r="K76" i="68"/>
  <c r="N20" i="69"/>
  <c r="J36" i="79"/>
  <c r="N24" i="66"/>
  <c r="F32" i="52"/>
  <c r="G7" i="32"/>
  <c r="M57" i="61"/>
  <c r="F88" i="79"/>
  <c r="H28" i="77"/>
  <c r="D107" i="46"/>
  <c r="E56" i="50"/>
  <c r="G55" i="74"/>
  <c r="M68" i="33"/>
  <c r="D51" i="90"/>
  <c r="F45"/>
  <c r="M68" i="76"/>
  <c r="F35" i="63"/>
  <c r="L73" i="39"/>
  <c r="J54" i="79"/>
  <c r="N25" i="41"/>
  <c r="D50" i="44"/>
  <c r="K8" i="54"/>
  <c r="K51" i="86"/>
  <c r="G10" i="58"/>
  <c r="D82" i="93"/>
  <c r="F65" i="84"/>
  <c r="L37" i="83"/>
  <c r="G10" i="69"/>
  <c r="D73" i="48"/>
  <c r="D30" i="49"/>
  <c r="F11" i="25"/>
  <c r="G37" i="75"/>
  <c r="M19" i="67"/>
  <c r="H41" i="94"/>
  <c r="K97" i="60"/>
  <c r="N70" i="30"/>
  <c r="F107" i="34"/>
  <c r="O52" i="48"/>
  <c r="I59" i="72"/>
  <c r="L38" i="35"/>
  <c r="L12" i="34"/>
  <c r="D12" i="89"/>
  <c r="D59" i="94"/>
  <c r="D13" i="87"/>
  <c r="O23" i="94"/>
  <c r="N36" i="43"/>
  <c r="I65" i="36"/>
  <c r="I19" i="73"/>
  <c r="F27" i="84"/>
  <c r="J21" i="74"/>
  <c r="H22" i="69"/>
  <c r="O83" i="70"/>
  <c r="O44" i="92"/>
  <c r="N83" i="48"/>
  <c r="K35" i="93"/>
  <c r="H106" i="44"/>
  <c r="E68" i="39"/>
  <c r="H88" i="87"/>
  <c r="K68" i="77"/>
  <c r="G21" i="29"/>
  <c r="I40" i="36"/>
  <c r="D65" i="74"/>
  <c r="D46" i="72"/>
  <c r="N44" i="71"/>
  <c r="N7" i="26"/>
  <c r="M67" i="34"/>
  <c r="O27" i="78"/>
  <c r="L74" i="49"/>
  <c r="J52" i="25"/>
  <c r="M68" i="67"/>
  <c r="M8" i="76"/>
  <c r="H71" i="53"/>
  <c r="O80" i="81"/>
  <c r="H67"/>
  <c r="M67" i="36"/>
  <c r="K53" i="63"/>
  <c r="J48" i="44"/>
  <c r="E44" i="83"/>
  <c r="K79" i="38"/>
  <c r="I106" i="91"/>
  <c r="I55" i="44"/>
  <c r="D50" i="92"/>
  <c r="D77" i="38"/>
  <c r="K85" i="32"/>
  <c r="K16" i="27"/>
  <c r="H35" i="61"/>
  <c r="O16" i="58"/>
  <c r="D4" i="46"/>
  <c r="M51" i="70"/>
  <c r="I26" i="56"/>
  <c r="L11" i="84"/>
  <c r="H13" i="83"/>
  <c r="N83" i="35"/>
  <c r="J79" i="82"/>
  <c r="D79" i="61"/>
  <c r="J7" i="75"/>
  <c r="J10" i="53"/>
  <c r="J68" i="49"/>
  <c r="J7" i="48"/>
  <c r="I89" i="89"/>
  <c r="K14" i="76"/>
  <c r="D21" i="55"/>
  <c r="E61" i="26"/>
  <c r="F94" i="50"/>
  <c r="O86" i="62"/>
  <c r="E74" i="42"/>
  <c r="H103" i="94"/>
  <c r="N39" i="78"/>
  <c r="L77" i="66"/>
  <c r="D95" i="67"/>
  <c r="O49" i="30"/>
  <c r="N8" i="47"/>
  <c r="K92" i="56"/>
  <c r="I67" i="39"/>
  <c r="G12" i="58"/>
  <c r="G57" i="84"/>
  <c r="I53" i="32"/>
  <c r="H26" i="75"/>
  <c r="N9" i="67"/>
  <c r="E8" i="69"/>
  <c r="J33" i="92"/>
  <c r="F38" i="84"/>
  <c r="L30" i="64"/>
  <c r="E29" i="51"/>
  <c r="E18" i="41"/>
  <c r="I89" i="91"/>
  <c r="F76" i="82"/>
  <c r="F45" i="69"/>
  <c r="E6" i="41"/>
  <c r="F67" i="32"/>
  <c r="D18" i="36"/>
  <c r="K43" i="51"/>
  <c r="M34" i="26"/>
  <c r="I64" i="57"/>
  <c r="O73" i="92"/>
  <c r="J64" i="32"/>
  <c r="G101" i="82"/>
  <c r="D30" i="55"/>
  <c r="H64" i="29"/>
  <c r="D76" i="92"/>
  <c r="L62" i="57"/>
  <c r="H41" i="38"/>
  <c r="E101" i="72"/>
  <c r="N77" i="74"/>
  <c r="E49" i="63"/>
  <c r="J57" i="62"/>
  <c r="F14" i="48"/>
  <c r="H27" i="33"/>
  <c r="CJ45" i="3"/>
  <c r="K79" i="66"/>
  <c r="I67" i="34"/>
  <c r="K98" i="77"/>
  <c r="E49" i="55"/>
  <c r="G7" i="44"/>
  <c r="G91" i="39"/>
  <c r="I29" i="53"/>
  <c r="E57" i="90"/>
  <c r="G62" i="62"/>
  <c r="F30" i="56"/>
  <c r="J62" i="25"/>
  <c r="O35" i="29"/>
  <c r="G92" i="56"/>
  <c r="D27" i="59"/>
  <c r="K92" i="25"/>
  <c r="D80" i="52"/>
  <c r="D14" i="79"/>
  <c r="M15" i="65"/>
  <c r="E89" i="40"/>
  <c r="G61" i="33"/>
  <c r="D13" i="90"/>
  <c r="I22" i="30"/>
  <c r="F65" i="72"/>
  <c r="H33" i="19"/>
  <c r="N20" i="25"/>
  <c r="O76" i="94"/>
  <c r="H44" i="74"/>
  <c r="O71" i="38"/>
  <c r="I30" i="56"/>
  <c r="O8" i="84"/>
  <c r="G67" i="85"/>
  <c r="D74" i="47"/>
  <c r="O85" i="45"/>
  <c r="G79" i="74"/>
  <c r="G73" i="85"/>
  <c r="I52" i="29"/>
  <c r="K30" i="56"/>
  <c r="M85" i="34"/>
  <c r="E28" i="47"/>
  <c r="F13" i="36"/>
  <c r="L31" i="84"/>
  <c r="E98" i="40"/>
  <c r="H44" i="26"/>
  <c r="F76" i="56"/>
  <c r="J18" i="64"/>
  <c r="E53" i="79"/>
  <c r="O82" i="32"/>
  <c r="K94" i="69"/>
  <c r="L32" i="58"/>
  <c r="D37" i="25"/>
  <c r="N98" i="43"/>
  <c r="M40" i="77"/>
  <c r="G61" i="52"/>
  <c r="D21" i="91"/>
  <c r="E97" i="83"/>
  <c r="M40" i="71"/>
  <c r="F48" i="45"/>
  <c r="O18" i="65"/>
  <c r="M100" i="93"/>
  <c r="D54" i="92"/>
  <c r="N38"/>
  <c r="I12" i="61"/>
  <c r="H43" i="94"/>
  <c r="D51" i="27"/>
  <c r="K8" i="49"/>
  <c r="J34" i="38"/>
  <c r="O59" i="43"/>
  <c r="K39" i="90"/>
  <c r="H92" i="76"/>
  <c r="H92" i="25"/>
  <c r="N44" i="43"/>
  <c r="M26" i="81"/>
  <c r="H37" i="79"/>
  <c r="G76" i="51"/>
  <c r="L14" i="19"/>
  <c r="M74" i="62"/>
  <c r="N37" i="81"/>
  <c r="F8" i="66"/>
  <c r="N9" i="69"/>
  <c r="L100" i="40"/>
  <c r="L80" i="48"/>
  <c r="L36" i="56"/>
  <c r="H35" i="75"/>
  <c r="H48" i="69"/>
  <c r="F55" i="75"/>
  <c r="O62" i="57"/>
  <c r="N7" i="60"/>
  <c r="E48" i="41"/>
  <c r="K82" i="29"/>
  <c r="H80" i="39"/>
  <c r="E71" i="52"/>
  <c r="O61" i="33"/>
  <c r="N6" i="60"/>
  <c r="L27" i="45"/>
  <c r="J56" i="69"/>
  <c r="I18" i="56"/>
  <c r="D17" i="30"/>
  <c r="F28" i="42"/>
  <c r="J50" i="57"/>
  <c r="K10" i="53"/>
  <c r="J6"/>
  <c r="O29" i="54"/>
  <c r="L54" i="78"/>
  <c r="G56" i="33"/>
  <c r="N56"/>
  <c r="E44" i="87"/>
  <c r="M12" i="90"/>
  <c r="O47" i="25"/>
  <c r="N67" i="43"/>
  <c r="K36" i="73"/>
  <c r="J88" i="32"/>
  <c r="J65" i="39"/>
  <c r="H45" i="86"/>
  <c r="G50" i="44"/>
  <c r="L37" i="89"/>
  <c r="J9" i="32"/>
  <c r="I67" i="38"/>
  <c r="M10" i="35"/>
  <c r="G33" i="94"/>
  <c r="F106" i="78"/>
  <c r="H44" i="68"/>
  <c r="J61" i="44"/>
  <c r="O16" i="54"/>
  <c r="L34" i="43"/>
  <c r="H53" i="50"/>
  <c r="O45" i="32"/>
  <c r="I8" i="85"/>
  <c r="F44" i="38"/>
  <c r="G30" i="90"/>
  <c r="H12" i="54"/>
  <c r="F47" i="48"/>
  <c r="K12" i="69"/>
  <c r="M40" i="34"/>
  <c r="E17" i="60"/>
  <c r="N95" i="75"/>
  <c r="L42" i="80"/>
  <c r="F89" i="43"/>
  <c r="M15" i="53"/>
  <c r="L71" i="74"/>
  <c r="G38" i="26"/>
  <c r="L15" i="75"/>
  <c r="L32" i="61"/>
  <c r="O40" i="94"/>
  <c r="D7" i="65"/>
  <c r="O21" i="94"/>
  <c r="D106" i="60"/>
  <c r="G45" i="87"/>
  <c r="E94"/>
  <c r="H82" i="81"/>
  <c r="K23" i="51"/>
  <c r="J35" i="45"/>
  <c r="M79" i="72"/>
  <c r="K44" i="45"/>
  <c r="M46" i="92"/>
  <c r="G71" i="59"/>
  <c r="E39" i="80"/>
  <c r="L13" i="57"/>
  <c r="H44" i="87"/>
  <c r="F100" i="54"/>
  <c r="I20" i="45"/>
  <c r="K4" i="30"/>
  <c r="E62" i="54"/>
  <c r="M47" i="29"/>
  <c r="N43" i="46"/>
  <c r="O86" i="90"/>
  <c r="L17" i="91"/>
  <c r="F70" i="90"/>
  <c r="E104" i="35"/>
  <c r="M30" i="69"/>
  <c r="O10" i="38"/>
  <c r="G58" i="83"/>
  <c r="G15" i="34"/>
  <c r="G76" i="66"/>
  <c r="I59" i="25"/>
  <c r="M80" i="71"/>
  <c r="O71" i="86"/>
  <c r="I103" i="94"/>
  <c r="K23" i="87"/>
  <c r="M104" i="86"/>
  <c r="D106" i="94"/>
  <c r="L16" i="45"/>
  <c r="L33" i="90"/>
  <c r="K36" i="82"/>
  <c r="L74" i="47"/>
  <c r="O57" i="33"/>
  <c r="F44" i="59"/>
  <c r="L35" i="56"/>
  <c r="N62" i="46"/>
  <c r="L16" i="35"/>
  <c r="I52" i="41"/>
  <c r="G41" i="82"/>
  <c r="I11" i="46"/>
  <c r="O27" i="27"/>
  <c r="G97" i="33"/>
  <c r="D95" i="56"/>
  <c r="O10" i="51"/>
  <c r="D33" i="59"/>
  <c r="E46" i="30"/>
  <c r="H68" i="62"/>
  <c r="E35" i="94"/>
  <c r="M94" i="32"/>
  <c r="I32" i="48"/>
  <c r="G76" i="49"/>
  <c r="I79" i="65"/>
  <c r="K6" i="38"/>
  <c r="K36" i="57"/>
  <c r="E5" i="79"/>
  <c r="L89" i="62"/>
  <c r="E106" i="35"/>
  <c r="D15" i="87"/>
  <c r="L8" i="84"/>
  <c r="F20" i="64"/>
  <c r="F51" i="46"/>
  <c r="G31" i="78"/>
  <c r="H42" i="50"/>
  <c r="M55" i="91"/>
  <c r="K98" i="90"/>
  <c r="N48" i="43"/>
  <c r="CJ62" i="3"/>
  <c r="K74" i="84"/>
  <c r="F35" i="45"/>
  <c r="N35" i="27"/>
  <c r="M104" i="94"/>
  <c r="M29" i="57"/>
  <c r="M53" i="84"/>
  <c r="H95" i="48"/>
  <c r="J80" i="45"/>
  <c r="G45" i="26"/>
  <c r="I73" i="82"/>
  <c r="E21" i="56"/>
  <c r="F4" i="75"/>
  <c r="L20" i="71"/>
  <c r="G88" i="27"/>
  <c r="M68" i="94"/>
  <c r="G94" i="48"/>
  <c r="O5" i="69"/>
  <c r="M38" i="19"/>
  <c r="I51" i="81"/>
  <c r="F48" i="66"/>
  <c r="H57" i="87"/>
  <c r="G58" i="81"/>
  <c r="I24" i="86"/>
  <c r="O98" i="70"/>
  <c r="K88" i="74"/>
  <c r="D47" i="38"/>
  <c r="K11" i="76"/>
  <c r="E40" i="79"/>
  <c r="F11" i="56"/>
  <c r="O51" i="38"/>
  <c r="J51" i="90"/>
  <c r="O49" i="53"/>
  <c r="E24" i="93"/>
  <c r="L19" i="74"/>
  <c r="L89" i="68"/>
  <c r="L71" i="60"/>
  <c r="O55" i="44"/>
  <c r="J46" i="32"/>
  <c r="K83" i="71"/>
  <c r="J21" i="83"/>
  <c r="H26" i="71"/>
  <c r="G17" i="77"/>
  <c r="D91" i="62"/>
  <c r="N39" i="77"/>
  <c r="O100" i="89"/>
  <c r="L85" i="67"/>
  <c r="J4" i="60"/>
  <c r="D85" i="57"/>
  <c r="G54" i="35"/>
  <c r="F44" i="87"/>
  <c r="E46" i="75"/>
  <c r="O26" i="32"/>
  <c r="K32" i="39"/>
  <c r="E104" i="19"/>
  <c r="E5" i="57"/>
  <c r="H26" i="83"/>
  <c r="K17" i="55"/>
  <c r="O103" i="26"/>
  <c r="L4" i="33"/>
  <c r="K23" i="62"/>
  <c r="O27" i="70"/>
  <c r="F59" i="91"/>
  <c r="J103" i="43"/>
  <c r="M73" i="82"/>
  <c r="O85" i="60"/>
  <c r="N38" i="19"/>
  <c r="L76" i="64"/>
  <c r="H49" i="43"/>
  <c r="D101" i="77"/>
  <c r="L56" i="90"/>
  <c r="H58" i="53"/>
  <c r="O50" i="43"/>
  <c r="J67" i="69"/>
  <c r="I13" i="94"/>
  <c r="D79" i="86"/>
  <c r="O68" i="65"/>
  <c r="I25" i="39"/>
  <c r="E52" i="53"/>
  <c r="L50" i="54"/>
  <c r="K98" i="33"/>
  <c r="D39" i="87"/>
  <c r="M82" i="27"/>
  <c r="I73" i="67"/>
  <c r="F46" i="73"/>
  <c r="J68" i="75"/>
  <c r="F71" i="77"/>
  <c r="O28" i="57"/>
  <c r="CA75" i="3"/>
  <c r="L45" i="46"/>
  <c r="M6" i="59"/>
  <c r="O83" i="19"/>
  <c r="K76" i="70"/>
  <c r="J107" i="19"/>
  <c r="H79" i="74"/>
  <c r="J77" i="34"/>
  <c r="L74" i="75"/>
  <c r="K51" i="54"/>
  <c r="M5" i="58"/>
  <c r="E7" i="56"/>
  <c r="J103" i="36"/>
  <c r="L9" i="53"/>
  <c r="H67" i="59"/>
  <c r="F94" i="32"/>
  <c r="K61" i="86"/>
  <c r="H45" i="26"/>
  <c r="K35" i="72"/>
  <c r="I61" i="77"/>
  <c r="O94" i="25"/>
  <c r="E82" i="86"/>
  <c r="E9" i="51"/>
  <c r="E53" i="91"/>
  <c r="O44" i="64"/>
  <c r="J39" i="69"/>
  <c r="E103" i="33"/>
  <c r="O57" i="67"/>
  <c r="E28" i="73"/>
  <c r="M61" i="43"/>
  <c r="E59" i="55"/>
  <c r="L37" i="93"/>
  <c r="F44" i="72"/>
  <c r="H103" i="38"/>
  <c r="H45" i="90"/>
  <c r="D55" i="46"/>
  <c r="E50" i="41"/>
  <c r="K79" i="32"/>
  <c r="G9" i="70"/>
  <c r="H45" i="51"/>
  <c r="G55" i="47"/>
  <c r="I68" i="38"/>
  <c r="O38" i="82"/>
  <c r="E62" i="46"/>
  <c r="F82" i="70"/>
  <c r="K64" i="77"/>
  <c r="G17" i="58"/>
  <c r="H51" i="67"/>
  <c r="M92" i="25"/>
  <c r="O14" i="44"/>
  <c r="F13" i="58"/>
  <c r="D37" i="45"/>
  <c r="H88" i="92"/>
  <c r="F95" i="29"/>
  <c r="I95" i="66"/>
  <c r="M57" i="51"/>
  <c r="K10" i="64"/>
  <c r="I68" i="82"/>
  <c r="F51" i="63"/>
  <c r="O33" i="80"/>
  <c r="D23" i="86"/>
  <c r="D73" i="62"/>
  <c r="G42" i="50"/>
  <c r="I33" i="63"/>
  <c r="J61" i="62"/>
  <c r="F97" i="42"/>
  <c r="L5" i="47"/>
  <c r="D103" i="68"/>
  <c r="D70" i="52"/>
  <c r="G68"/>
  <c r="E65" i="47"/>
  <c r="D5" i="72"/>
  <c r="L27" i="51"/>
  <c r="F54" i="19"/>
  <c r="K4" i="70"/>
  <c r="D64" i="59"/>
  <c r="N12" i="53"/>
  <c r="CK31" i="3"/>
  <c r="I24" i="72"/>
  <c r="G4" i="92"/>
  <c r="K14" i="67"/>
  <c r="M40" i="82"/>
  <c r="E35" i="61"/>
  <c r="I30" i="58"/>
  <c r="K33" i="83"/>
  <c r="M101" i="56"/>
  <c r="D97" i="70"/>
  <c r="H27" i="50"/>
  <c r="G8" i="56"/>
  <c r="O4" i="75"/>
  <c r="N106" i="47"/>
  <c r="I20" i="44"/>
  <c r="CF74" i="3"/>
  <c r="F15" i="43"/>
  <c r="E28" i="61"/>
  <c r="D71" i="49"/>
  <c r="I86" i="94"/>
  <c r="N45" i="84"/>
  <c r="E36" i="65"/>
  <c r="O80" i="56"/>
  <c r="H15" i="84"/>
  <c r="E79" i="77"/>
  <c r="F30" i="59"/>
  <c r="O46" i="53"/>
  <c r="K88" i="38"/>
  <c r="O45" i="35"/>
  <c r="E70" i="86"/>
  <c r="F77" i="64"/>
  <c r="E83" i="27"/>
  <c r="M98" i="35"/>
  <c r="K97" i="36"/>
  <c r="I101" i="48"/>
  <c r="F13" i="86"/>
  <c r="D20" i="62"/>
  <c r="K83" i="43"/>
  <c r="G44" i="39"/>
  <c r="M35" i="83"/>
  <c r="G104" i="68"/>
  <c r="M62" i="32"/>
  <c r="N98" i="81"/>
  <c r="I74" i="43"/>
  <c r="E8" i="64"/>
  <c r="F54" i="32"/>
  <c r="J21" i="44"/>
  <c r="I92" i="53"/>
  <c r="M27" i="34"/>
  <c r="J50" i="62"/>
  <c r="M80" i="29"/>
  <c r="G54" i="89"/>
  <c r="I38" i="46"/>
  <c r="F71" i="76"/>
  <c r="J25" i="79"/>
  <c r="G100" i="69"/>
  <c r="K30" i="26"/>
  <c r="F41" i="53"/>
  <c r="H80" i="89"/>
  <c r="H27" i="65"/>
  <c r="M57" i="90"/>
  <c r="J97" i="94"/>
  <c r="M22" i="93"/>
  <c r="F11" i="91"/>
  <c r="E80" i="69"/>
  <c r="I54" i="42"/>
  <c r="H6" i="72"/>
  <c r="M55" i="75"/>
  <c r="L34" i="39"/>
  <c r="H97" i="52"/>
  <c r="F39" i="62"/>
  <c r="L4" i="32"/>
  <c r="O30" i="41"/>
  <c r="H82" i="44"/>
  <c r="K38" i="25"/>
  <c r="M71" i="92"/>
  <c r="M42" i="41"/>
  <c r="G29" i="49"/>
  <c r="L54" i="70"/>
  <c r="N88" i="78"/>
  <c r="L8" i="53"/>
  <c r="H20" i="92"/>
  <c r="L33" i="19"/>
  <c r="J70" i="53"/>
  <c r="K64"/>
  <c r="O33" i="61"/>
  <c r="O44" i="48"/>
  <c r="D59" i="76"/>
  <c r="O39" i="75"/>
  <c r="O97" i="92"/>
  <c r="G59" i="51"/>
  <c r="I4" i="90"/>
  <c r="N61" i="87"/>
  <c r="L107" i="64"/>
  <c r="F77" i="54"/>
  <c r="L85" i="93"/>
  <c r="I70" i="25"/>
  <c r="K32" i="32"/>
  <c r="O11" i="26"/>
  <c r="D50" i="43"/>
  <c r="K89" i="33"/>
  <c r="L28" i="64"/>
  <c r="E17" i="34"/>
  <c r="O83" i="62"/>
  <c r="O49" i="77"/>
  <c r="M44" i="62"/>
  <c r="I56" i="70"/>
  <c r="K59" i="35"/>
  <c r="I23" i="68"/>
  <c r="H92" i="63"/>
  <c r="E44" i="25"/>
  <c r="I68" i="49"/>
  <c r="L67" i="93"/>
  <c r="G28" i="49"/>
  <c r="H17" i="57"/>
  <c r="N35" i="86"/>
  <c r="L7" i="70"/>
  <c r="N23" i="27"/>
  <c r="N55" i="82"/>
  <c r="E59" i="50"/>
  <c r="N17" i="77"/>
  <c r="F44" i="46"/>
  <c r="O56" i="84"/>
  <c r="N43" i="27"/>
  <c r="G49" i="93"/>
  <c r="M45" i="39"/>
  <c r="D22" i="42"/>
  <c r="N95" i="63"/>
  <c r="L61" i="26"/>
  <c r="J30" i="86"/>
  <c r="I73" i="39"/>
  <c r="E100" i="60"/>
  <c r="F65" i="71"/>
  <c r="H17" i="58"/>
  <c r="F85" i="36"/>
  <c r="O17" i="30"/>
  <c r="L39" i="27"/>
  <c r="J97" i="89"/>
  <c r="E13" i="69"/>
  <c r="L46" i="19"/>
  <c r="J15" i="25"/>
  <c r="J35" i="47"/>
  <c r="L89" i="49"/>
  <c r="E70" i="85"/>
  <c r="H70" i="91"/>
  <c r="J50" i="65"/>
  <c r="H49" i="87"/>
  <c r="H74" i="89"/>
  <c r="H94" i="66"/>
  <c r="F43" i="91"/>
  <c r="H103" i="55"/>
  <c r="D13" i="80"/>
  <c r="E85" i="55"/>
  <c r="M45" i="69"/>
  <c r="J47" i="73"/>
  <c r="K71" i="61"/>
  <c r="G44" i="92"/>
  <c r="F89" i="46"/>
  <c r="O101" i="73"/>
  <c r="I40" i="81"/>
  <c r="E104" i="93"/>
  <c r="M6" i="41"/>
  <c r="F64" i="94"/>
  <c r="I106" i="78"/>
  <c r="F50" i="35"/>
  <c r="D42" i="91"/>
  <c r="N58"/>
  <c r="H106" i="19"/>
  <c r="F106" i="34"/>
  <c r="I11" i="43"/>
  <c r="F83" i="38"/>
  <c r="I32" i="33"/>
  <c r="E74" i="73"/>
  <c r="F26" i="34"/>
  <c r="H29" i="94"/>
  <c r="O62" i="35"/>
  <c r="K12" i="63"/>
  <c r="M92" i="45"/>
  <c r="I80" i="82"/>
  <c r="G28" i="47"/>
  <c r="M18" i="83"/>
  <c r="N104" i="90"/>
  <c r="D45" i="74"/>
  <c r="G51" i="32"/>
  <c r="N98" i="26"/>
  <c r="N9" i="34"/>
  <c r="D51" i="35"/>
  <c r="K28" i="57"/>
  <c r="J24" i="54"/>
  <c r="M55" i="40"/>
  <c r="F98" i="79"/>
  <c r="G62" i="85"/>
  <c r="L20" i="26"/>
  <c r="L89" i="55"/>
  <c r="F37" i="39"/>
  <c r="O61" i="89"/>
  <c r="H79" i="38"/>
  <c r="M21" i="34"/>
  <c r="O88" i="61"/>
  <c r="G101" i="74"/>
  <c r="G38" i="40"/>
  <c r="O13" i="49"/>
  <c r="N24" i="61"/>
  <c r="D77" i="19"/>
  <c r="E30" i="34"/>
  <c r="H17" i="50"/>
  <c r="E61" i="57"/>
  <c r="L39" i="78"/>
  <c r="H25" i="38"/>
  <c r="J9" i="33"/>
  <c r="E56" i="94"/>
  <c r="G101" i="73"/>
  <c r="E64" i="82"/>
  <c r="CL55" i="3"/>
  <c r="F106" i="72"/>
  <c r="N41" i="81"/>
  <c r="I62" i="82"/>
  <c r="H26" i="90"/>
  <c r="J94" i="36"/>
  <c r="J11" i="53"/>
  <c r="I13" i="40"/>
  <c r="M36" i="51"/>
  <c r="O8" i="45"/>
  <c r="F79" i="61"/>
  <c r="CA56" i="3"/>
  <c r="M95" i="48"/>
  <c r="I9" i="68"/>
  <c r="H12" i="78"/>
  <c r="L97" i="57"/>
  <c r="I91" i="52"/>
  <c r="K77" i="76"/>
  <c r="G11" i="19"/>
  <c r="F98" i="83"/>
  <c r="E44" i="56"/>
  <c r="D35" i="29"/>
  <c r="N16" i="76"/>
  <c r="L37" i="55"/>
  <c r="G32" i="29"/>
  <c r="F19" i="93"/>
  <c r="E70" i="72"/>
  <c r="K61" i="40"/>
  <c r="M89" i="47"/>
  <c r="I51" i="26"/>
  <c r="M42" i="35"/>
  <c r="D39" i="45"/>
  <c r="E42" i="77"/>
  <c r="G37" i="71"/>
  <c r="H5" i="86"/>
  <c r="N30" i="73"/>
  <c r="O71" i="94"/>
  <c r="O19" i="38"/>
  <c r="D62" i="54"/>
  <c r="G30" i="42"/>
  <c r="E5" i="81"/>
  <c r="K106" i="94"/>
  <c r="H22" i="53"/>
  <c r="J92" i="76"/>
  <c r="F43" i="60"/>
  <c r="D97" i="35"/>
  <c r="M74" i="72"/>
  <c r="F74" i="73"/>
  <c r="I97" i="34"/>
  <c r="J76" i="43"/>
  <c r="M62" i="70"/>
  <c r="F85" i="89"/>
  <c r="H30" i="42"/>
  <c r="L14" i="29"/>
  <c r="J12" i="34"/>
  <c r="H85" i="52"/>
  <c r="G97" i="92"/>
  <c r="O54" i="76"/>
  <c r="O77" i="44"/>
  <c r="M28" i="47"/>
  <c r="F23" i="73"/>
  <c r="D61" i="36"/>
  <c r="K18" i="67"/>
  <c r="I41" i="60"/>
  <c r="D70" i="89"/>
  <c r="O9" i="71"/>
  <c r="I46" i="47"/>
  <c r="F20" i="42"/>
  <c r="I65" i="38"/>
  <c r="N56" i="57"/>
  <c r="M76" i="19"/>
  <c r="M10" i="87"/>
  <c r="F42" i="63"/>
  <c r="M91" i="60"/>
  <c r="J89" i="30"/>
  <c r="N62" i="68"/>
  <c r="O62" i="70"/>
  <c r="N16" i="30"/>
  <c r="L51" i="56"/>
  <c r="G38" i="82"/>
  <c r="F45" i="50"/>
  <c r="I101" i="27"/>
  <c r="F98" i="29"/>
  <c r="H98" i="26"/>
  <c r="O94" i="64"/>
  <c r="M9" i="49"/>
  <c r="E80" i="64"/>
  <c r="H11" i="73"/>
  <c r="M13" i="62"/>
  <c r="K67" i="83"/>
  <c r="G106" i="87"/>
  <c r="D58" i="29"/>
  <c r="H50" i="89"/>
  <c r="H56" i="79"/>
  <c r="F49" i="94"/>
  <c r="J76" i="34"/>
  <c r="G88" i="74"/>
  <c r="D20" i="22"/>
  <c r="I92" i="35"/>
  <c r="K73" i="87"/>
  <c r="J76" i="90"/>
  <c r="H53" i="60"/>
  <c r="G40" i="39"/>
  <c r="I37" i="85"/>
  <c r="H11" i="87"/>
  <c r="I92" i="86"/>
  <c r="I80" i="35"/>
  <c r="H22" i="42"/>
  <c r="J14" i="60"/>
  <c r="I80"/>
  <c r="O41" i="38"/>
  <c r="K101" i="69"/>
  <c r="M25" i="66"/>
  <c r="F43" i="80"/>
  <c r="F55" i="38"/>
  <c r="K6" i="90"/>
  <c r="I101" i="65"/>
  <c r="F29" i="55"/>
  <c r="G42" i="60"/>
  <c r="G101" i="27"/>
  <c r="D45" i="48"/>
  <c r="O83" i="45"/>
  <c r="G77" i="51"/>
  <c r="M91" i="65"/>
  <c r="G94" i="39"/>
  <c r="D74" i="84"/>
  <c r="F52" i="34"/>
  <c r="O20" i="59"/>
  <c r="K14" i="65"/>
  <c r="J30" i="83"/>
  <c r="I68" i="32"/>
  <c r="H46" i="74"/>
  <c r="F15" i="86"/>
  <c r="O23" i="40"/>
  <c r="E13" i="45"/>
  <c r="G25" i="72"/>
  <c r="M54" i="19"/>
  <c r="E41" i="87"/>
  <c r="D38" i="77"/>
  <c r="G37" i="91"/>
  <c r="K57" i="93"/>
  <c r="D23" i="58"/>
  <c r="J38" i="79"/>
  <c r="H91" i="45"/>
  <c r="I89" i="57"/>
  <c r="K73" i="53"/>
  <c r="D45" i="32"/>
  <c r="M77" i="72"/>
  <c r="G9" i="85"/>
  <c r="J4" i="71"/>
  <c r="N41" i="38"/>
  <c r="N79" i="84"/>
  <c r="K54" i="63"/>
  <c r="O51" i="41"/>
  <c r="E33" i="55"/>
  <c r="D106" i="48"/>
  <c r="M30" i="39"/>
  <c r="J24" i="73"/>
  <c r="N25" i="89"/>
  <c r="N37" i="45"/>
  <c r="L43" i="73"/>
  <c r="N104" i="87"/>
  <c r="K83" i="72"/>
  <c r="O37" i="94"/>
  <c r="F104" i="49"/>
  <c r="F24" i="67"/>
  <c r="L33" i="41"/>
  <c r="H32" i="51"/>
  <c r="E16" i="75"/>
  <c r="M104" i="65"/>
  <c r="N80" i="92"/>
  <c r="H19" i="72"/>
  <c r="O56" i="87"/>
  <c r="G50" i="73"/>
  <c r="E50" i="90"/>
  <c r="L91" i="26"/>
  <c r="E51" i="55"/>
  <c r="J13" i="60"/>
  <c r="H8" i="74"/>
  <c r="M51" i="78"/>
  <c r="I21" i="72"/>
  <c r="D45" i="76"/>
  <c r="F9" i="62"/>
  <c r="L23" i="19"/>
  <c r="F68" i="27"/>
  <c r="E47" i="41"/>
  <c r="L24" i="73"/>
  <c r="E103" i="38"/>
  <c r="O59" i="56"/>
  <c r="F4" i="48"/>
  <c r="L43" i="63"/>
  <c r="L100" i="62"/>
  <c r="O59" i="64"/>
  <c r="J27" i="55"/>
  <c r="J86" i="71"/>
  <c r="J95" i="68"/>
  <c r="L71" i="92"/>
  <c r="O107" i="54"/>
  <c r="O70" i="46"/>
  <c r="N83" i="60"/>
  <c r="J25" i="83"/>
  <c r="K9" i="93"/>
  <c r="I51" i="57"/>
  <c r="J35" i="49"/>
  <c r="D14" i="52"/>
  <c r="H40" i="30"/>
  <c r="D12" i="38"/>
  <c r="F56" i="89"/>
  <c r="K4" i="72"/>
  <c r="G5" i="39"/>
  <c r="G37" i="70"/>
  <c r="J46" i="57"/>
  <c r="M88" i="77"/>
  <c r="D6" i="36"/>
  <c r="H21" i="35"/>
  <c r="N32" i="69"/>
  <c r="J12" i="89"/>
  <c r="K30" i="83"/>
  <c r="F53" i="58"/>
  <c r="O91" i="30"/>
  <c r="M44" i="67"/>
  <c r="G98" i="85"/>
  <c r="K49" i="40"/>
  <c r="L22" i="87"/>
  <c r="J8" i="56"/>
  <c r="G7" i="27"/>
  <c r="H47" i="92"/>
  <c r="M100" i="65"/>
  <c r="F31" i="61"/>
  <c r="E62" i="58"/>
  <c r="O95" i="56"/>
  <c r="J94" i="55"/>
  <c r="G79" i="89"/>
  <c r="F19" i="86"/>
  <c r="O54" i="33"/>
  <c r="H6" i="89"/>
  <c r="M50" i="67"/>
  <c r="J98" i="54"/>
  <c r="M52" i="56"/>
  <c r="M101" i="41"/>
  <c r="K74" i="56"/>
  <c r="K50" i="87"/>
  <c r="F50" i="40"/>
  <c r="L107" i="33"/>
  <c r="N51" i="32"/>
  <c r="G11" i="35"/>
  <c r="K43" i="53"/>
  <c r="E8" i="35"/>
  <c r="G83" i="78"/>
  <c r="K88" i="80"/>
  <c r="H56" i="60"/>
  <c r="J34" i="87"/>
  <c r="M22" i="25"/>
  <c r="E77" i="38"/>
  <c r="O25" i="74"/>
  <c r="H97" i="76"/>
  <c r="K88" i="55"/>
  <c r="J101" i="34"/>
  <c r="O34" i="83"/>
  <c r="L59" i="73"/>
  <c r="F18" i="71"/>
  <c r="L50" i="76"/>
  <c r="H70" i="84"/>
  <c r="D32" i="94"/>
  <c r="K37" i="59"/>
  <c r="J51"/>
  <c r="M23" i="29"/>
  <c r="D26" i="32"/>
  <c r="M10"/>
  <c r="E14" i="39"/>
  <c r="O88" i="75"/>
  <c r="M29" i="38"/>
  <c r="F24" i="44"/>
  <c r="E4" i="63"/>
  <c r="J26" i="19"/>
  <c r="K37" i="36"/>
  <c r="G34" i="44"/>
  <c r="M11" i="89"/>
  <c r="J55" i="47"/>
  <c r="K76" i="34"/>
  <c r="O12" i="40"/>
  <c r="I47" i="64"/>
  <c r="O45" i="90"/>
  <c r="H57" i="27"/>
  <c r="N55" i="51"/>
  <c r="F23" i="47"/>
  <c r="D65" i="57"/>
  <c r="D45" i="29"/>
  <c r="K41" i="56"/>
  <c r="H71" i="32"/>
  <c r="J89" i="51"/>
  <c r="K25" i="57"/>
  <c r="J64" i="56"/>
  <c r="L24" i="72"/>
  <c r="F64" i="26"/>
  <c r="L79" i="60"/>
  <c r="L39" i="66"/>
  <c r="N16" i="62"/>
  <c r="E104" i="61"/>
  <c r="J17" i="51"/>
  <c r="N16" i="35"/>
  <c r="E35" i="58"/>
  <c r="H46" i="76"/>
  <c r="F58" i="73"/>
  <c r="O54" i="61"/>
  <c r="D73" i="68"/>
  <c r="K100" i="36"/>
  <c r="M88" i="39"/>
  <c r="I19" i="54"/>
  <c r="G47" i="66"/>
  <c r="N65" i="36"/>
  <c r="J12" i="27"/>
  <c r="E15" i="94"/>
  <c r="H76" i="36"/>
  <c r="I17" i="76"/>
  <c r="E83" i="68"/>
  <c r="N22" i="58"/>
  <c r="D71" i="73"/>
  <c r="E107" i="48"/>
  <c r="N32" i="75"/>
  <c r="G8" i="60"/>
  <c r="M11" i="65"/>
  <c r="M55" i="51"/>
  <c r="O33" i="77"/>
  <c r="M64" i="90"/>
  <c r="H32" i="76"/>
  <c r="J71" i="73"/>
  <c r="K67" i="54"/>
  <c r="M45" i="60"/>
  <c r="I22" i="39"/>
  <c r="N43" i="72"/>
  <c r="E100" i="70"/>
  <c r="H9" i="82"/>
  <c r="E17" i="62"/>
  <c r="F65" i="65"/>
  <c r="M65" i="69"/>
  <c r="D21" i="82"/>
  <c r="J19" i="81"/>
  <c r="F47" i="86"/>
  <c r="H52" i="94"/>
  <c r="H48" i="38"/>
  <c r="H92" i="42"/>
  <c r="M5" i="26"/>
  <c r="H33" i="41"/>
  <c r="E12" i="89"/>
  <c r="E46" i="38"/>
  <c r="F56" i="44"/>
  <c r="N19" i="80"/>
  <c r="K9" i="83"/>
  <c r="K26" i="43"/>
  <c r="G32" i="91"/>
  <c r="G67" i="32"/>
  <c r="M36" i="92"/>
  <c r="K55" i="54"/>
  <c r="H22" i="41"/>
  <c r="L68" i="26"/>
  <c r="H62" i="47"/>
  <c r="N44" i="25"/>
  <c r="J7" i="35"/>
  <c r="I10" i="93"/>
  <c r="G106" i="70"/>
  <c r="M70" i="63"/>
  <c r="M11" i="40"/>
  <c r="E59" i="19"/>
  <c r="M27" i="77"/>
  <c r="I55" i="56"/>
  <c r="M51" i="69"/>
  <c r="E53" i="83"/>
  <c r="E12" i="76"/>
  <c r="O107" i="64"/>
  <c r="M58" i="93"/>
  <c r="I26" i="74"/>
  <c r="J52" i="90"/>
  <c r="J39" i="74"/>
  <c r="M27" i="26"/>
  <c r="K86" i="35"/>
  <c r="K89" i="77"/>
  <c r="L55" i="86"/>
  <c r="O7" i="69"/>
  <c r="M77" i="44"/>
  <c r="K9" i="63"/>
  <c r="J64" i="30"/>
  <c r="N88" i="54"/>
  <c r="O45" i="46"/>
  <c r="J35" i="78"/>
  <c r="H88" i="46"/>
  <c r="L92" i="26"/>
  <c r="L83" i="68"/>
  <c r="CK38" i="3"/>
  <c r="N11" i="68"/>
  <c r="H42" i="63"/>
  <c r="J51" i="53"/>
  <c r="H55" i="69"/>
  <c r="N51" i="91"/>
  <c r="N61" i="75"/>
  <c r="H31" i="25"/>
  <c r="L91" i="62"/>
  <c r="D61" i="90"/>
  <c r="N5" i="72"/>
  <c r="H57" i="33"/>
  <c r="H68" i="45"/>
  <c r="I40" i="29"/>
  <c r="L47" i="46"/>
  <c r="L70" i="70"/>
  <c r="N100" i="63"/>
  <c r="E11" i="71"/>
  <c r="M4" i="45"/>
  <c r="M89" i="51"/>
  <c r="O10" i="60"/>
  <c r="E45" i="33"/>
  <c r="K40" i="67"/>
  <c r="G57" i="92"/>
  <c r="N64" i="81"/>
  <c r="J35" i="29"/>
  <c r="H104" i="55"/>
  <c r="J18" i="74"/>
  <c r="J98" i="71"/>
  <c r="O92" i="69"/>
  <c r="L37" i="58"/>
  <c r="D22" i="57"/>
  <c r="G91" i="47"/>
  <c r="G68" i="86"/>
  <c r="H33" i="36"/>
  <c r="K16" i="39"/>
  <c r="O25" i="73"/>
  <c r="M23" i="64"/>
  <c r="E91" i="77"/>
  <c r="G23" i="92"/>
  <c r="I89" i="46"/>
  <c r="O104" i="66"/>
  <c r="E36" i="76"/>
  <c r="F51" i="30"/>
  <c r="H61" i="26"/>
  <c r="O61" i="61"/>
  <c r="K65" i="48"/>
  <c r="N53" i="55"/>
  <c r="K42" i="53"/>
  <c r="L55" i="61"/>
  <c r="K47" i="75"/>
  <c r="L43" i="84"/>
  <c r="E31" i="47"/>
  <c r="L25" i="58"/>
  <c r="G100" i="94"/>
  <c r="E6" i="53"/>
  <c r="D101" i="83"/>
  <c r="L13" i="29"/>
  <c r="H31" i="63"/>
  <c r="F24" i="59"/>
  <c r="M45" i="41"/>
  <c r="H26" i="35"/>
  <c r="I32" i="73"/>
  <c r="O56" i="82"/>
  <c r="E98" i="30"/>
  <c r="I62" i="62"/>
  <c r="N94" i="60"/>
  <c r="F29" i="93"/>
  <c r="J16" i="64"/>
  <c r="L65" i="34"/>
  <c r="M94" i="87"/>
  <c r="L74" i="35"/>
  <c r="H24" i="79"/>
  <c r="F67" i="33"/>
  <c r="L25" i="32"/>
  <c r="G48" i="67"/>
  <c r="F68" i="39"/>
  <c r="H56" i="34"/>
  <c r="H46" i="90"/>
  <c r="I103" i="78"/>
  <c r="N37" i="33"/>
  <c r="F83" i="30"/>
  <c r="M74" i="41"/>
  <c r="N103" i="51"/>
  <c r="L107" i="54"/>
  <c r="N57" i="66"/>
  <c r="F74" i="90"/>
  <c r="F71" i="46"/>
  <c r="M65" i="72"/>
  <c r="J100" i="84"/>
  <c r="N21" i="72"/>
  <c r="J103" i="63"/>
  <c r="L53" i="29"/>
  <c r="H6" i="45"/>
  <c r="I41" i="50"/>
  <c r="O95" i="38"/>
  <c r="I103" i="33"/>
  <c r="O65" i="47"/>
  <c r="G86" i="93"/>
  <c r="J62" i="36"/>
  <c r="CH65" i="3"/>
  <c r="G22" i="56"/>
  <c r="O76" i="32"/>
  <c r="N47" i="90"/>
  <c r="K20" i="93"/>
  <c r="D58" i="42"/>
  <c r="O77" i="66"/>
  <c r="F71" i="25"/>
  <c r="N4" i="56"/>
  <c r="N15" i="76"/>
  <c r="H34" i="52"/>
  <c r="I64" i="81"/>
  <c r="N49" i="76"/>
  <c r="L31" i="69"/>
  <c r="D18" i="89"/>
  <c r="I23" i="91"/>
  <c r="N12" i="46"/>
  <c r="D71" i="48"/>
  <c r="G43" i="30"/>
  <c r="N94" i="77"/>
  <c r="E19" i="87"/>
  <c r="O5" i="60"/>
  <c r="F97" i="54"/>
  <c r="F39" i="86"/>
  <c r="O61" i="81"/>
  <c r="I98" i="67"/>
  <c r="D74" i="34"/>
  <c r="O71" i="78"/>
  <c r="E70" i="79"/>
  <c r="J31" i="91"/>
  <c r="M8" i="35"/>
  <c r="F91" i="29"/>
  <c r="L101" i="25"/>
  <c r="I27" i="47"/>
  <c r="I79" i="85"/>
  <c r="E4"/>
  <c r="H101" i="41"/>
  <c r="G36" i="94"/>
  <c r="L89" i="81"/>
  <c r="H65"/>
  <c r="F20" i="33"/>
  <c r="M54" i="38"/>
  <c r="H59" i="58"/>
  <c r="O76" i="90"/>
  <c r="J44" i="69"/>
  <c r="E49" i="91"/>
  <c r="J38" i="19"/>
  <c r="L35" i="58"/>
  <c r="L71" i="71"/>
  <c r="M13" i="36"/>
  <c r="K6" i="22"/>
  <c r="K71" i="38"/>
  <c r="O48" i="64"/>
  <c r="O31" i="84"/>
  <c r="H41" i="66"/>
  <c r="L68"/>
  <c r="N49" i="32"/>
  <c r="F6" i="19"/>
  <c r="O76" i="54"/>
  <c r="H13" i="89"/>
  <c r="H35" i="77"/>
  <c r="K36" i="45"/>
  <c r="G94" i="64"/>
  <c r="E4" i="45"/>
  <c r="N77" i="60"/>
  <c r="K42" i="73"/>
  <c r="F61" i="70"/>
  <c r="I42" i="25"/>
  <c r="O16" i="38"/>
  <c r="H51" i="77"/>
  <c r="H11" i="30"/>
  <c r="K26" i="93"/>
  <c r="F71" i="92"/>
  <c r="F51" i="87"/>
  <c r="I29" i="32"/>
  <c r="J50"/>
  <c r="K36" i="94"/>
  <c r="G101" i="61"/>
  <c r="N47" i="27"/>
  <c r="F28" i="53"/>
  <c r="G8" i="74"/>
  <c r="K68" i="56"/>
  <c r="E61" i="25"/>
  <c r="J58" i="59"/>
  <c r="N8" i="93"/>
  <c r="J37" i="74"/>
  <c r="O74" i="47"/>
  <c r="L47" i="81"/>
  <c r="D83" i="44"/>
  <c r="J83" i="62"/>
  <c r="O42" i="69"/>
  <c r="F53" i="30"/>
  <c r="M76" i="81"/>
  <c r="M5" i="67"/>
  <c r="K26" i="55"/>
  <c r="I71" i="34"/>
  <c r="O19" i="59"/>
  <c r="N103" i="58"/>
  <c r="E58" i="76"/>
  <c r="F40" i="75"/>
  <c r="H95" i="71"/>
  <c r="J28" i="62"/>
  <c r="I41" i="77"/>
  <c r="G85"/>
  <c r="J88" i="61"/>
  <c r="I67" i="87"/>
  <c r="D64" i="34"/>
  <c r="J17" i="68"/>
  <c r="M9" i="29"/>
  <c r="J101" i="30"/>
  <c r="I55" i="82"/>
  <c r="J79" i="49"/>
  <c r="K5" i="43"/>
  <c r="K22" i="71"/>
  <c r="H79" i="34"/>
  <c r="N48" i="32"/>
  <c r="G42" i="84"/>
  <c r="L19" i="94"/>
  <c r="D12" i="58"/>
  <c r="F30" i="70"/>
  <c r="E46" i="41"/>
  <c r="E32" i="51"/>
  <c r="J21" i="89"/>
  <c r="F18" i="76"/>
  <c r="I32" i="87"/>
  <c r="O40" i="26"/>
  <c r="K94" i="78"/>
  <c r="H43" i="84"/>
  <c r="H15" i="50"/>
  <c r="I34" i="66"/>
  <c r="G50" i="76"/>
  <c r="L100" i="51"/>
  <c r="F101" i="90"/>
  <c r="M68" i="44"/>
  <c r="N26" i="51"/>
  <c r="L8" i="93"/>
  <c r="M26"/>
  <c r="E57" i="73"/>
  <c r="H7" i="44"/>
  <c r="H21" i="93"/>
  <c r="M85" i="83"/>
  <c r="L39" i="75"/>
  <c r="N51" i="73"/>
  <c r="K35" i="53"/>
  <c r="M104" i="87"/>
  <c r="E8" i="42"/>
  <c r="F30" i="39"/>
  <c r="L97" i="81"/>
  <c r="G77" i="83"/>
  <c r="K7" i="64"/>
  <c r="K14" i="30"/>
  <c r="E39" i="41"/>
  <c r="O64" i="45"/>
  <c r="H65" i="58"/>
  <c r="J47" i="39"/>
  <c r="O16" i="59"/>
  <c r="K40" i="71"/>
  <c r="N38" i="93"/>
  <c r="K80" i="56"/>
  <c r="D12" i="50"/>
  <c r="I30" i="39"/>
  <c r="K53" i="19"/>
  <c r="K28" i="40"/>
  <c r="N83" i="87"/>
  <c r="N13" i="41"/>
  <c r="M5" i="86"/>
  <c r="J71" i="70"/>
  <c r="E28" i="60"/>
  <c r="G31" i="59"/>
  <c r="F16" i="75"/>
  <c r="D31" i="60"/>
  <c r="E47" i="57"/>
  <c r="D21" i="33"/>
  <c r="J28" i="84"/>
  <c r="M18" i="49"/>
  <c r="L85" i="70"/>
  <c r="J104" i="47"/>
  <c r="O76" i="64"/>
  <c r="O46" i="61"/>
  <c r="J107" i="34"/>
  <c r="D55" i="93"/>
  <c r="D73" i="82"/>
  <c r="F92" i="38"/>
  <c r="F39" i="85"/>
  <c r="H94" i="35"/>
  <c r="K31" i="90"/>
  <c r="L74" i="46"/>
  <c r="H21" i="45"/>
  <c r="E30" i="36"/>
  <c r="D98" i="39"/>
  <c r="J12" i="48"/>
  <c r="N45" i="74"/>
  <c r="L54" i="49"/>
  <c r="G35" i="79"/>
  <c r="K98" i="81"/>
  <c r="E4" i="56"/>
  <c r="M101" i="72"/>
  <c r="I44" i="50"/>
  <c r="M76" i="83"/>
  <c r="H28" i="50"/>
  <c r="H97" i="32"/>
  <c r="CH60" i="3"/>
  <c r="F46" i="60"/>
  <c r="J50" i="74"/>
  <c r="F50" i="77"/>
  <c r="F86" i="56"/>
  <c r="K32" i="93"/>
  <c r="K82" i="34"/>
  <c r="L51" i="47"/>
  <c r="L80" i="39"/>
  <c r="M27" i="44"/>
  <c r="F45" i="85"/>
  <c r="J43" i="89"/>
  <c r="L7" i="27"/>
  <c r="H43" i="66"/>
  <c r="N71" i="58"/>
  <c r="D52" i="82"/>
  <c r="O21" i="76"/>
  <c r="D64" i="83"/>
  <c r="O61" i="92"/>
  <c r="F9" i="65"/>
  <c r="E25" i="58"/>
  <c r="F53" i="83"/>
  <c r="M107" i="56"/>
  <c r="N34" i="26"/>
  <c r="F8" i="59"/>
  <c r="M25" i="81"/>
  <c r="N88" i="43"/>
  <c r="G22" i="79"/>
  <c r="E91" i="60"/>
  <c r="G9" i="73"/>
  <c r="I89" i="19"/>
  <c r="I77" i="63"/>
  <c r="G43" i="66"/>
  <c r="CL32" i="3"/>
  <c r="M6" i="32"/>
  <c r="F32" i="76"/>
  <c r="O14" i="29"/>
  <c r="J98" i="87"/>
  <c r="I73" i="81"/>
  <c r="G13" i="68"/>
  <c r="M9" i="92"/>
  <c r="M51" i="47"/>
  <c r="CC52" i="3"/>
  <c r="N73" i="60"/>
  <c r="L77" i="93"/>
  <c r="K21" i="45"/>
  <c r="E73" i="34"/>
  <c r="O15" i="33"/>
  <c r="N30" i="45"/>
  <c r="H76" i="58"/>
  <c r="L32" i="92"/>
  <c r="K15" i="70"/>
  <c r="H56" i="56"/>
  <c r="I79" i="79"/>
  <c r="I94" i="51"/>
  <c r="D11" i="49"/>
  <c r="G49" i="52"/>
  <c r="D97" i="64"/>
  <c r="H28" i="25"/>
  <c r="L89" i="44"/>
  <c r="D55" i="78"/>
  <c r="O94" i="41"/>
  <c r="K39" i="27"/>
  <c r="F58" i="65"/>
  <c r="J107" i="56"/>
  <c r="E65" i="70"/>
  <c r="J44" i="49"/>
  <c r="J62" i="27"/>
  <c r="J19" i="62"/>
  <c r="M40" i="39"/>
  <c r="H39" i="40"/>
  <c r="E36" i="84"/>
  <c r="F40" i="30"/>
  <c r="H10" i="79"/>
  <c r="N83" i="38"/>
  <c r="F86" i="64"/>
  <c r="G20" i="86"/>
  <c r="K24" i="67"/>
  <c r="E20" i="57"/>
  <c r="H36" i="19"/>
  <c r="E91" i="56"/>
  <c r="J40" i="86"/>
  <c r="G71" i="40"/>
  <c r="J64" i="83"/>
  <c r="G86" i="35"/>
  <c r="G86" i="42"/>
  <c r="F64" i="38"/>
  <c r="L83" i="57"/>
  <c r="K14" i="75"/>
  <c r="L17" i="55"/>
  <c r="I39" i="63"/>
  <c r="D32" i="35"/>
  <c r="L73" i="87"/>
  <c r="O71" i="67"/>
  <c r="I19" i="45"/>
  <c r="I95" i="67"/>
  <c r="F94" i="40"/>
  <c r="M25" i="41"/>
  <c r="J34" i="30"/>
  <c r="F92" i="83"/>
  <c r="G94" i="34"/>
  <c r="E10" i="49"/>
  <c r="O95" i="67"/>
  <c r="H28" i="66"/>
  <c r="G46" i="43"/>
  <c r="J16" i="35"/>
  <c r="F101" i="57"/>
  <c r="L68" i="46"/>
  <c r="H18" i="38"/>
  <c r="J40" i="62"/>
  <c r="F44" i="58"/>
  <c r="N76" i="71"/>
  <c r="L54" i="96"/>
  <c r="E55" i="90"/>
  <c r="M54" i="76"/>
  <c r="K14" i="58"/>
  <c r="E14" i="74"/>
  <c r="E44" i="80"/>
  <c r="K28" i="75"/>
  <c r="G92" i="60"/>
  <c r="I20" i="47"/>
  <c r="N43" i="93"/>
  <c r="O82" i="72"/>
  <c r="H44" i="75"/>
  <c r="I37" i="45"/>
  <c r="E27"/>
  <c r="L83" i="35"/>
  <c r="K97" i="65"/>
  <c r="O15" i="60"/>
  <c r="H13" i="78"/>
  <c r="I8" i="81"/>
  <c r="I57" i="49"/>
  <c r="F107" i="33"/>
  <c r="N39" i="86"/>
  <c r="G29" i="48"/>
  <c r="H11" i="54"/>
  <c r="M44" i="51"/>
  <c r="H26" i="72"/>
  <c r="K4" i="66"/>
  <c r="J43" i="57"/>
  <c r="I61" i="41"/>
  <c r="I95" i="38"/>
  <c r="M41" i="75"/>
  <c r="K70" i="60"/>
  <c r="M14" i="59"/>
  <c r="F11" i="84"/>
  <c r="L67" i="76"/>
  <c r="E10" i="27"/>
  <c r="J64" i="86"/>
  <c r="G95" i="33"/>
  <c r="O14" i="89"/>
  <c r="D89" i="85"/>
  <c r="G92" i="73"/>
  <c r="H70" i="27"/>
  <c r="J55" i="71"/>
  <c r="G18" i="64"/>
  <c r="H23" i="53"/>
  <c r="H8" i="48"/>
  <c r="D14" i="49"/>
  <c r="K7" i="33"/>
  <c r="M4" i="35"/>
  <c r="I88" i="56"/>
  <c r="K57" i="34"/>
  <c r="I39" i="44"/>
  <c r="L27" i="91"/>
  <c r="D13" i="69"/>
  <c r="F100" i="33"/>
  <c r="M92" i="77"/>
  <c r="M82" i="62"/>
  <c r="O59" i="61"/>
  <c r="F22" i="89"/>
  <c r="L43" i="53"/>
  <c r="D23" i="57"/>
  <c r="D54" i="91"/>
  <c r="K7" i="55"/>
  <c r="F89" i="52"/>
  <c r="G50" i="87"/>
  <c r="E70" i="47"/>
  <c r="L12" i="68"/>
  <c r="H34" i="36"/>
  <c r="I5" i="35"/>
  <c r="N50" i="82"/>
  <c r="K48" i="19"/>
  <c r="D10" i="59"/>
  <c r="K98" i="56"/>
  <c r="G71" i="86"/>
  <c r="E64" i="26"/>
  <c r="F25" i="84"/>
  <c r="H70" i="51"/>
  <c r="G19" i="27"/>
  <c r="L4" i="44"/>
  <c r="L95" i="86"/>
  <c r="H48" i="55"/>
  <c r="J16" i="49"/>
  <c r="K8" i="62"/>
  <c r="O19" i="48"/>
  <c r="I30" i="86"/>
  <c r="L7"/>
  <c r="CB46" i="3"/>
  <c r="G28" i="75"/>
  <c r="D24" i="67"/>
  <c r="I12" i="87"/>
  <c r="F13" i="40"/>
  <c r="F5" i="92"/>
  <c r="J65" i="80"/>
  <c r="O37" i="57"/>
  <c r="K4" i="48"/>
  <c r="D9" i="47"/>
  <c r="L73" i="55"/>
  <c r="D37" i="78"/>
  <c r="K13" i="74"/>
  <c r="D94" i="25"/>
  <c r="G30" i="65"/>
  <c r="I56" i="69"/>
  <c r="K57" i="55"/>
  <c r="H8" i="59"/>
  <c r="N64" i="39"/>
  <c r="I100" i="90"/>
  <c r="H40" i="26"/>
  <c r="J46" i="35"/>
  <c r="L57" i="39"/>
  <c r="K56" i="90"/>
  <c r="N94" i="38"/>
  <c r="E6" i="44"/>
  <c r="G50" i="69"/>
  <c r="N36" i="64"/>
  <c r="D57" i="48"/>
  <c r="K50" i="69"/>
  <c r="I18" i="46"/>
  <c r="M27" i="32"/>
  <c r="L59" i="94"/>
  <c r="I30" i="49"/>
  <c r="G35" i="61"/>
  <c r="J10" i="35"/>
  <c r="H52" i="48"/>
  <c r="G22" i="91"/>
  <c r="F39" i="66"/>
  <c r="K43" i="35"/>
  <c r="K39" i="47"/>
  <c r="J88" i="54"/>
  <c r="K106" i="59"/>
  <c r="O57" i="40"/>
  <c r="I13" i="53"/>
  <c r="J61" i="59"/>
  <c r="M27" i="38"/>
  <c r="K91" i="61"/>
  <c r="I101" i="70"/>
  <c r="L27" i="35"/>
  <c r="G82" i="58"/>
  <c r="F80" i="68"/>
  <c r="J12" i="74"/>
  <c r="E46" i="68"/>
  <c r="E83" i="91"/>
  <c r="F70" i="72"/>
  <c r="M50" i="71"/>
  <c r="F77" i="30"/>
  <c r="D11" i="78"/>
  <c r="J46" i="43"/>
  <c r="N62" i="69"/>
  <c r="N83" i="25"/>
  <c r="E4" i="89"/>
  <c r="L58" i="29"/>
  <c r="I49" i="19"/>
  <c r="H77" i="73"/>
  <c r="G73" i="38"/>
  <c r="F6" i="34"/>
  <c r="F101" i="25"/>
  <c r="M74" i="55"/>
  <c r="E15" i="38"/>
  <c r="O13" i="45"/>
  <c r="G25" i="82"/>
  <c r="D97" i="39"/>
  <c r="M28" i="35"/>
  <c r="G36" i="82"/>
  <c r="M23" i="74"/>
  <c r="K24" i="44"/>
  <c r="I74" i="63"/>
  <c r="K88" i="62"/>
  <c r="E8" i="66"/>
  <c r="M79" i="33"/>
  <c r="M12" i="56"/>
  <c r="E27" i="89"/>
  <c r="J49" i="81"/>
  <c r="J27" i="46"/>
  <c r="M86" i="45"/>
  <c r="L56" i="63"/>
  <c r="N13" i="61"/>
  <c r="F101" i="91"/>
  <c r="M104" i="77"/>
  <c r="D77" i="68"/>
  <c r="J50" i="66"/>
  <c r="F20" i="50"/>
  <c r="I104" i="85"/>
  <c r="G82" i="65"/>
  <c r="D35" i="53"/>
  <c r="G52" i="73"/>
  <c r="I85" i="58"/>
  <c r="N28"/>
  <c r="L79" i="82"/>
  <c r="O36" i="72"/>
  <c r="D76" i="48"/>
  <c r="O29" i="86"/>
  <c r="M79" i="63"/>
  <c r="E74" i="75"/>
  <c r="J10" i="73"/>
  <c r="I34" i="77"/>
  <c r="E107" i="19"/>
  <c r="M28" i="66"/>
  <c r="F43" i="41"/>
  <c r="M68" i="38"/>
  <c r="O22" i="63"/>
  <c r="L5" i="83"/>
  <c r="D95" i="68"/>
  <c r="E31" i="92"/>
  <c r="L98" i="82"/>
  <c r="N57" i="44"/>
  <c r="L64" i="67"/>
  <c r="E62" i="40"/>
  <c r="I37" i="55"/>
  <c r="O45" i="36"/>
  <c r="M56" i="62"/>
  <c r="G12" i="43"/>
  <c r="K21" i="48"/>
  <c r="O39" i="54"/>
  <c r="L95" i="48"/>
  <c r="G38" i="85"/>
  <c r="K65" i="66"/>
  <c r="I62" i="75"/>
  <c r="F42" i="56"/>
  <c r="N85" i="53"/>
  <c r="F92" i="74"/>
  <c r="E103" i="59"/>
  <c r="M88" i="91"/>
  <c r="O100" i="63"/>
  <c r="I61" i="56"/>
  <c r="L100" i="87"/>
  <c r="K85" i="33"/>
  <c r="D42" i="89"/>
  <c r="M9" i="66"/>
  <c r="D42" i="82"/>
  <c r="F10" i="87"/>
  <c r="E4" i="75"/>
  <c r="M37" i="76"/>
  <c r="E45" i="36"/>
  <c r="E47" i="65"/>
  <c r="N41" i="91"/>
  <c r="G28" i="96"/>
  <c r="L61" i="89"/>
  <c r="N53" i="39"/>
  <c r="N41" i="93"/>
  <c r="E23" i="61"/>
  <c r="I97" i="49"/>
  <c r="L39" i="80"/>
  <c r="F67" i="84"/>
  <c r="H98" i="65"/>
  <c r="N17" i="86"/>
  <c r="H95" i="74"/>
  <c r="M58" i="59"/>
  <c r="H49" i="61"/>
  <c r="F23" i="90"/>
  <c r="G59" i="73"/>
  <c r="K51" i="70"/>
  <c r="D21" i="68"/>
  <c r="I89" i="74"/>
  <c r="O61" i="66"/>
  <c r="E82" i="58"/>
  <c r="D56" i="41"/>
  <c r="I65" i="56"/>
  <c r="J20" i="81"/>
  <c r="K40" i="80"/>
  <c r="G34" i="59"/>
  <c r="D43" i="53"/>
  <c r="L92" i="68"/>
  <c r="G98" i="30"/>
  <c r="K107" i="32"/>
  <c r="L76" i="53"/>
  <c r="L48" i="41"/>
  <c r="H88" i="71"/>
  <c r="G32" i="74"/>
  <c r="N67" i="63"/>
  <c r="F38" i="60"/>
  <c r="N33" i="65"/>
  <c r="O79" i="63"/>
  <c r="O43" i="19"/>
  <c r="F64" i="47"/>
  <c r="E80" i="52"/>
  <c r="L20" i="62"/>
  <c r="O11" i="54"/>
  <c r="H86"/>
  <c r="I40" i="79"/>
  <c r="G5" i="91"/>
  <c r="L64" i="57"/>
  <c r="K70" i="76"/>
  <c r="K91" i="35"/>
  <c r="D19" i="75"/>
  <c r="J64" i="33"/>
  <c r="M57" i="73"/>
  <c r="O28" i="43"/>
  <c r="E32" i="81"/>
  <c r="L45" i="62"/>
  <c r="K23" i="33"/>
  <c r="E44" i="32"/>
  <c r="L106" i="43"/>
  <c r="I13" i="91"/>
  <c r="K26" i="27"/>
  <c r="H52" i="81"/>
  <c r="K65" i="84"/>
  <c r="N37" i="44"/>
  <c r="J89" i="75"/>
  <c r="G101" i="35"/>
  <c r="N56" i="92"/>
  <c r="N25" i="25"/>
  <c r="F91" i="34"/>
  <c r="G71" i="87"/>
  <c r="M70" i="72"/>
  <c r="K24" i="69"/>
  <c r="F68" i="35"/>
  <c r="F97" i="34"/>
  <c r="O33" i="71"/>
  <c r="H57" i="46"/>
  <c r="M42" i="68"/>
  <c r="CA34" i="3"/>
  <c r="H104" i="41"/>
  <c r="F103" i="68"/>
  <c r="I48" i="51"/>
  <c r="G64" i="89"/>
  <c r="L4" i="25"/>
  <c r="H32" i="40"/>
  <c r="J65" i="48"/>
  <c r="D62" i="90"/>
  <c r="D35" i="82"/>
  <c r="I58" i="43"/>
  <c r="O53" i="65"/>
  <c r="H68" i="71"/>
  <c r="O42" i="30"/>
  <c r="D48" i="83"/>
  <c r="M64" i="62"/>
  <c r="H37" i="93"/>
  <c r="K8" i="29"/>
  <c r="J47" i="74"/>
  <c r="N56" i="67"/>
  <c r="E4" i="47"/>
  <c r="H12" i="66"/>
  <c r="H17" i="43"/>
  <c r="N41" i="26"/>
  <c r="I58" i="72"/>
  <c r="N47" i="70"/>
  <c r="L71" i="27"/>
  <c r="M27" i="56"/>
  <c r="D70" i="39"/>
  <c r="N94" i="40"/>
  <c r="I13" i="27"/>
  <c r="J14" i="40"/>
  <c r="M55" i="61"/>
  <c r="M28" i="77"/>
  <c r="D50" i="59"/>
  <c r="J48" i="72"/>
  <c r="O50" i="46"/>
  <c r="F65" i="70"/>
  <c r="D27" i="68"/>
  <c r="I100" i="62"/>
  <c r="K20" i="35"/>
  <c r="E11" i="83"/>
  <c r="M43" i="26"/>
  <c r="J65" i="75"/>
  <c r="M14" i="84"/>
  <c r="M83" i="66"/>
  <c r="E65" i="30"/>
  <c r="F48" i="64"/>
  <c r="E27" i="75"/>
  <c r="J5" i="48"/>
  <c r="L104" i="65"/>
  <c r="K98" i="38"/>
  <c r="M73" i="43"/>
  <c r="O92" i="83"/>
  <c r="N40" i="35"/>
  <c r="J17" i="30"/>
  <c r="H44" i="51"/>
  <c r="O62" i="65"/>
  <c r="L59" i="58"/>
  <c r="H4" i="46"/>
  <c r="H107" i="90"/>
  <c r="E36" i="50"/>
  <c r="G31" i="79"/>
  <c r="I74" i="47"/>
  <c r="M52" i="89"/>
  <c r="D24" i="48"/>
  <c r="E59" i="49"/>
  <c r="O18" i="84"/>
  <c r="E27" i="29"/>
  <c r="L47" i="76"/>
  <c r="D100" i="34"/>
  <c r="I64" i="85"/>
  <c r="J31" i="78"/>
  <c r="J38" i="27"/>
  <c r="O71" i="55"/>
  <c r="F7" i="33"/>
  <c r="G8" i="86"/>
  <c r="F13" i="43"/>
  <c r="J53" i="45"/>
  <c r="F107" i="75"/>
  <c r="I83" i="27"/>
  <c r="H62" i="85"/>
  <c r="F28" i="45"/>
  <c r="I6" i="19"/>
  <c r="K36" i="72"/>
  <c r="F22" i="83"/>
  <c r="F36" i="35"/>
  <c r="CF53" i="3"/>
  <c r="M36" i="46"/>
  <c r="M56" i="30"/>
  <c r="G39" i="57"/>
  <c r="O52" i="43"/>
  <c r="J26" i="70"/>
  <c r="E34" i="39"/>
  <c r="I22" i="59"/>
  <c r="J6" i="55"/>
  <c r="K106" i="80"/>
  <c r="K31" i="73"/>
  <c r="E92" i="81"/>
  <c r="J38" i="51"/>
  <c r="H48" i="52"/>
  <c r="N24" i="27"/>
  <c r="J65" i="47"/>
  <c r="I98" i="55"/>
  <c r="D26" i="52"/>
  <c r="E71" i="34"/>
  <c r="N55" i="92"/>
  <c r="H8" i="73"/>
  <c r="K21" i="39"/>
  <c r="G40" i="85"/>
  <c r="K31" i="60"/>
  <c r="I98" i="87"/>
  <c r="N57" i="41"/>
  <c r="H6" i="32"/>
  <c r="E106" i="94"/>
  <c r="K20" i="27"/>
  <c r="E34" i="40"/>
  <c r="N68" i="33"/>
  <c r="I68" i="80"/>
  <c r="J89" i="59"/>
  <c r="O36" i="41"/>
  <c r="H98" i="72"/>
  <c r="G57" i="54"/>
  <c r="D13" i="79"/>
  <c r="N106" i="64"/>
  <c r="E79" i="79"/>
  <c r="M50" i="82"/>
  <c r="J4" i="70"/>
  <c r="E42" i="33"/>
  <c r="H62" i="27"/>
  <c r="L37" i="38"/>
  <c r="N59" i="44"/>
  <c r="F14" i="38"/>
  <c r="I6" i="69"/>
  <c r="O83" i="83"/>
  <c r="G98" i="76"/>
  <c r="N34" i="56"/>
  <c r="J40" i="64"/>
  <c r="G13" i="54"/>
  <c r="K92" i="86"/>
  <c r="D73" i="66"/>
  <c r="O57" i="65"/>
  <c r="O68" i="82"/>
  <c r="L8" i="59"/>
  <c r="K76" i="92"/>
  <c r="K7" i="60"/>
  <c r="J16" i="32"/>
  <c r="G59" i="40"/>
  <c r="D47" i="68"/>
  <c r="G20" i="32"/>
  <c r="N50" i="89"/>
  <c r="G74" i="56"/>
  <c r="I95" i="89"/>
  <c r="F62" i="78"/>
  <c r="O74" i="83"/>
  <c r="I50" i="43"/>
  <c r="D8" i="42"/>
  <c r="H44" i="84"/>
  <c r="N8" i="89"/>
  <c r="N94" i="30"/>
  <c r="L27" i="29"/>
  <c r="D86" i="76"/>
  <c r="H28" i="57"/>
  <c r="L33" i="63"/>
  <c r="D46" i="93"/>
  <c r="E92" i="47"/>
  <c r="O59" i="89"/>
  <c r="E34" i="32"/>
  <c r="E61"/>
  <c r="J68" i="64"/>
  <c r="J54" i="71"/>
  <c r="M17" i="57"/>
  <c r="K94" i="25"/>
  <c r="G29" i="27"/>
  <c r="J29" i="30"/>
  <c r="G52" i="84"/>
  <c r="J83" i="51"/>
  <c r="H62"/>
  <c r="O40" i="87"/>
  <c r="J59" i="26"/>
  <c r="I36" i="33"/>
  <c r="D55" i="58"/>
  <c r="D37" i="69"/>
  <c r="N7" i="35"/>
  <c r="L16" i="90"/>
  <c r="I54" i="53"/>
  <c r="I45" i="47"/>
  <c r="F98" i="51"/>
  <c r="M80" i="92"/>
  <c r="D17" i="61"/>
  <c r="E46" i="39"/>
  <c r="F71" i="40"/>
  <c r="E44" i="90"/>
  <c r="K103" i="39"/>
  <c r="L57" i="61"/>
  <c r="M24" i="89"/>
  <c r="M61" i="62"/>
  <c r="O101" i="45"/>
  <c r="H17" i="62"/>
  <c r="F53" i="92"/>
  <c r="K7" i="72"/>
  <c r="K98" i="76"/>
  <c r="G42" i="57"/>
  <c r="J37" i="33"/>
  <c r="L89" i="40"/>
  <c r="I83" i="91"/>
  <c r="E59" i="74"/>
  <c r="K22" i="59"/>
  <c r="E29" i="41"/>
  <c r="D27" i="93"/>
  <c r="D101" i="81"/>
  <c r="K58" i="26"/>
  <c r="M42" i="19"/>
  <c r="D91" i="43"/>
  <c r="O6" i="39"/>
  <c r="M43" i="47"/>
  <c r="G68" i="64"/>
  <c r="N62" i="26"/>
  <c r="F77" i="82"/>
  <c r="I55" i="67"/>
  <c r="J10" i="84"/>
  <c r="N31" i="29"/>
  <c r="F27" i="56"/>
  <c r="CJ80" i="3"/>
  <c r="N6" i="27"/>
  <c r="K94" i="77"/>
  <c r="N101" i="41"/>
  <c r="L19" i="48"/>
  <c r="J39" i="76"/>
  <c r="L46" i="26"/>
  <c r="F40" i="72"/>
  <c r="E30" i="62"/>
  <c r="M43" i="46"/>
  <c r="F37" i="94"/>
  <c r="H104" i="44"/>
  <c r="M22" i="29"/>
  <c r="J21" i="49"/>
  <c r="K95" i="36"/>
  <c r="F86" i="49"/>
  <c r="G40" i="65"/>
  <c r="L23" i="91"/>
  <c r="K101" i="89"/>
  <c r="J19" i="75"/>
  <c r="F103" i="63"/>
  <c r="M57" i="47"/>
  <c r="F26" i="62"/>
  <c r="G17" i="46"/>
  <c r="E48" i="67"/>
  <c r="G74" i="68"/>
  <c r="L45" i="26"/>
  <c r="F16" i="82"/>
  <c r="L31" i="44"/>
  <c r="M15" i="47"/>
  <c r="M79" i="54"/>
  <c r="H56" i="83"/>
  <c r="N41" i="60"/>
  <c r="J59" i="86"/>
  <c r="G76" i="40"/>
  <c r="M38" i="69"/>
  <c r="D91" i="29"/>
  <c r="J107" i="87"/>
  <c r="H50" i="86"/>
  <c r="G21" i="62"/>
  <c r="N14" i="30"/>
  <c r="L31" i="66"/>
  <c r="H12" i="46"/>
  <c r="D58" i="49"/>
  <c r="I6" i="51"/>
  <c r="N42" i="41"/>
  <c r="J47" i="55"/>
  <c r="L33" i="49"/>
  <c r="D86" i="46"/>
  <c r="D59" i="62"/>
  <c r="G97" i="36"/>
  <c r="H94" i="83"/>
  <c r="H62" i="50"/>
  <c r="D94" i="74"/>
  <c r="I88" i="73"/>
  <c r="O53" i="84"/>
  <c r="O12" i="41"/>
  <c r="L49" i="80"/>
  <c r="F7" i="32"/>
  <c r="I86" i="84"/>
  <c r="G16" i="87"/>
  <c r="N14" i="73"/>
  <c r="L30" i="84"/>
  <c r="I103" i="71"/>
  <c r="J34" i="34"/>
  <c r="J29" i="74"/>
  <c r="L17" i="48"/>
  <c r="L10" i="25"/>
  <c r="D37" i="57"/>
  <c r="F30" i="75"/>
  <c r="O29" i="82"/>
  <c r="I83" i="48"/>
  <c r="E4" i="46"/>
  <c r="H10" i="19"/>
  <c r="K17" i="34"/>
  <c r="N23" i="61"/>
  <c r="K11" i="90"/>
  <c r="M51" i="27"/>
  <c r="F79" i="73"/>
  <c r="G106" i="60"/>
  <c r="F43" i="34"/>
  <c r="I19" i="43"/>
  <c r="O77" i="46"/>
  <c r="L77" i="59"/>
  <c r="J40" i="92"/>
  <c r="H79" i="82"/>
  <c r="G92" i="63"/>
  <c r="L65" i="43"/>
  <c r="I12" i="68"/>
  <c r="L29" i="56"/>
  <c r="J82" i="50"/>
  <c r="K92" i="47"/>
  <c r="F48"/>
  <c r="L45" i="82"/>
  <c r="N12" i="49"/>
  <c r="L26" i="30"/>
  <c r="F101" i="56"/>
  <c r="I86" i="49"/>
  <c r="D10" i="36"/>
  <c r="N27" i="72"/>
  <c r="M41" i="33"/>
  <c r="O85" i="29"/>
  <c r="G106" i="90"/>
  <c r="N53" i="60"/>
  <c r="M73" i="49"/>
  <c r="I6" i="71"/>
  <c r="O53" i="92"/>
  <c r="G28" i="72"/>
  <c r="D21" i="66"/>
  <c r="F52" i="30"/>
  <c r="D12" i="61"/>
  <c r="N20" i="49"/>
  <c r="D39" i="58"/>
  <c r="F29" i="73"/>
  <c r="I52" i="34"/>
  <c r="J62" i="44"/>
  <c r="K77" i="55"/>
  <c r="J53" i="79"/>
  <c r="G85" i="67"/>
  <c r="K9" i="71"/>
  <c r="H79" i="66"/>
  <c r="L51" i="57"/>
  <c r="J98" i="58"/>
  <c r="M20" i="51"/>
  <c r="I33" i="85"/>
  <c r="K82" i="90"/>
  <c r="D42" i="51"/>
  <c r="M64" i="58"/>
  <c r="G5" i="64"/>
  <c r="J4" i="38"/>
  <c r="J18" i="73"/>
  <c r="F62" i="68"/>
  <c r="E36" i="80"/>
  <c r="D56" i="86"/>
  <c r="E74" i="19"/>
  <c r="E27" i="26"/>
  <c r="I107" i="67"/>
  <c r="M30" i="92"/>
  <c r="D48" i="85"/>
  <c r="G38" i="53"/>
  <c r="O7" i="55"/>
  <c r="I54" i="43"/>
  <c r="E89" i="74"/>
  <c r="O47" i="33"/>
  <c r="K91" i="89"/>
  <c r="CI45" i="3"/>
  <c r="N50" i="51"/>
  <c r="D20" i="30"/>
  <c r="G29" i="81"/>
  <c r="L49" i="59"/>
  <c r="I24"/>
  <c r="M64" i="89"/>
  <c r="N51" i="40"/>
  <c r="N54" i="84"/>
  <c r="D47" i="25"/>
  <c r="CF36" i="3"/>
  <c r="F25" i="58"/>
  <c r="E55" i="75"/>
  <c r="M107" i="30"/>
  <c r="F97" i="78"/>
  <c r="K13" i="35"/>
  <c r="I46"/>
  <c r="E8" i="70"/>
  <c r="H67" i="32"/>
  <c r="N5" i="45"/>
  <c r="L55" i="51"/>
  <c r="E9" i="27"/>
  <c r="M48" i="29"/>
  <c r="O38" i="80"/>
  <c r="H36" i="33"/>
  <c r="G36" i="34"/>
  <c r="O62" i="59"/>
  <c r="J85" i="86"/>
  <c r="J76" i="40"/>
  <c r="N61" i="67"/>
  <c r="I56" i="58"/>
  <c r="L68" i="63"/>
  <c r="H100" i="26"/>
  <c r="G85" i="29"/>
  <c r="G7" i="39"/>
  <c r="J50" i="48"/>
  <c r="L21" i="41"/>
  <c r="L41" i="96"/>
  <c r="M59" i="77"/>
  <c r="J24" i="93"/>
  <c r="I100" i="82"/>
  <c r="L43" i="59"/>
  <c r="J83" i="44"/>
  <c r="F9" i="80"/>
  <c r="H46" i="54"/>
  <c r="J5" i="40"/>
  <c r="L61" i="86"/>
  <c r="I67" i="55"/>
  <c r="O14" i="87"/>
  <c r="G46" i="25"/>
  <c r="I48" i="43"/>
  <c r="I5" i="91"/>
  <c r="L21" i="51"/>
  <c r="K61" i="62"/>
  <c r="F100" i="47"/>
  <c r="E37" i="94"/>
  <c r="E74" i="51"/>
  <c r="E106" i="86"/>
  <c r="I10" i="52"/>
  <c r="O10" i="80"/>
  <c r="N52" i="35"/>
  <c r="D76" i="53"/>
  <c r="L104" i="35"/>
  <c r="N100" i="32"/>
  <c r="E4" i="51"/>
  <c r="C28" i="96"/>
  <c r="J36" i="34"/>
  <c r="L51" i="49"/>
  <c r="E92" i="84"/>
  <c r="D9" i="80"/>
  <c r="L29" i="43"/>
  <c r="F67" i="82"/>
  <c r="G8" i="71"/>
  <c r="K71" i="45"/>
  <c r="D12" i="62"/>
  <c r="K47" i="73"/>
  <c r="H32" i="89"/>
  <c r="E73" i="78"/>
  <c r="L89" i="58"/>
  <c r="M54" i="41"/>
  <c r="I62" i="74"/>
  <c r="I33" i="44"/>
  <c r="M35" i="59"/>
  <c r="G65" i="36"/>
  <c r="O68" i="78"/>
  <c r="I52" i="64"/>
  <c r="F29" i="39"/>
  <c r="L85" i="87"/>
  <c r="G42" i="65"/>
  <c r="D68" i="19"/>
  <c r="N94" i="76"/>
  <c r="L8" i="41"/>
  <c r="I107" i="62"/>
  <c r="H15" i="59"/>
  <c r="J85" i="56"/>
  <c r="H54" i="38"/>
  <c r="N71" i="39"/>
  <c r="H65" i="48"/>
  <c r="L71" i="49"/>
  <c r="M76" i="77"/>
  <c r="M94" i="80"/>
  <c r="I50" i="77"/>
  <c r="D10" i="60"/>
  <c r="N35" i="92"/>
  <c r="L19" i="22"/>
  <c r="E27" i="67"/>
  <c r="H34" i="93"/>
  <c r="G25" i="49"/>
  <c r="I7" i="26"/>
  <c r="H59" i="61"/>
  <c r="E31" i="83"/>
  <c r="H35" i="68"/>
  <c r="F80" i="57"/>
  <c r="D65" i="59"/>
  <c r="N32" i="74"/>
  <c r="E21" i="35"/>
  <c r="F26" i="48"/>
  <c r="N21" i="82"/>
  <c r="L58" i="71"/>
  <c r="O98" i="49"/>
  <c r="D24" i="96"/>
  <c r="J8" i="69"/>
  <c r="H15" i="73"/>
  <c r="E106" i="60"/>
  <c r="O58" i="78"/>
  <c r="I46" i="41"/>
  <c r="D20" i="60"/>
  <c r="L49" i="54"/>
  <c r="G23" i="68"/>
  <c r="D15" i="71"/>
  <c r="L97" i="45"/>
  <c r="H103" i="87"/>
  <c r="H29" i="48"/>
  <c r="O98" i="53"/>
  <c r="L26" i="38"/>
  <c r="L56" i="93"/>
  <c r="I51" i="86"/>
  <c r="N16" i="71"/>
  <c r="F80" i="40"/>
  <c r="H59" i="93"/>
  <c r="J11" i="80"/>
  <c r="I16" i="85"/>
  <c r="M35" i="36"/>
  <c r="D45" i="51"/>
  <c r="K57"/>
  <c r="K58" i="53"/>
  <c r="J71" i="66"/>
  <c r="G32" i="59"/>
  <c r="D26" i="46"/>
  <c r="L12" i="59"/>
  <c r="K103"/>
  <c r="K88" i="57"/>
  <c r="O88" i="77"/>
  <c r="M83" i="73"/>
  <c r="H33" i="70"/>
  <c r="J46" i="76"/>
  <c r="O47" i="19"/>
  <c r="M89" i="36"/>
  <c r="J62" i="78"/>
  <c r="E65" i="81"/>
  <c r="G79" i="83"/>
  <c r="O101" i="34"/>
  <c r="I22" i="40"/>
  <c r="J54" i="74"/>
  <c r="G6" i="52"/>
  <c r="F16" i="25"/>
  <c r="D20" i="63"/>
  <c r="K7" i="80"/>
  <c r="N20" i="55"/>
  <c r="D25" i="72"/>
  <c r="J5" i="92"/>
  <c r="D46" i="51"/>
  <c r="I10" i="63"/>
  <c r="G24" i="89"/>
  <c r="E92" i="57"/>
  <c r="M62" i="53"/>
  <c r="H26" i="43"/>
  <c r="I28" i="29"/>
  <c r="G23" i="70"/>
  <c r="I54" i="50"/>
  <c r="H31" i="44"/>
  <c r="J22" i="25"/>
  <c r="D11" i="48"/>
  <c r="J29" i="78"/>
  <c r="G12" i="42"/>
  <c r="K86" i="80"/>
  <c r="K79" i="69"/>
  <c r="N80" i="34"/>
  <c r="J68" i="79"/>
  <c r="G59" i="25"/>
  <c r="K58" i="64"/>
  <c r="K89" i="35"/>
  <c r="N58" i="53"/>
  <c r="E31" i="29"/>
  <c r="I13" i="61"/>
  <c r="O33" i="60"/>
  <c r="J98" i="75"/>
  <c r="J89" i="63"/>
  <c r="D35" i="58"/>
  <c r="M80" i="45"/>
  <c r="E37" i="79"/>
  <c r="G54" i="66"/>
  <c r="N79" i="74"/>
  <c r="E53" i="62"/>
  <c r="K9" i="47"/>
  <c r="G86" i="72"/>
  <c r="D70" i="62"/>
  <c r="E59" i="36"/>
  <c r="L100" i="25"/>
  <c r="G37" i="78"/>
  <c r="M33" i="38"/>
  <c r="D68" i="62"/>
  <c r="F5"/>
  <c r="J33" i="25"/>
  <c r="F8" i="55"/>
  <c r="G7" i="92"/>
  <c r="O22" i="62"/>
  <c r="H5" i="82"/>
  <c r="M107" i="72"/>
  <c r="H29"/>
  <c r="M37" i="87"/>
  <c r="G22" i="30"/>
  <c r="O18" i="57"/>
  <c r="E17" i="38"/>
  <c r="D30" i="46"/>
  <c r="L77" i="82"/>
  <c r="J40" i="44"/>
  <c r="F104" i="87"/>
  <c r="D71" i="40"/>
  <c r="I70" i="45"/>
  <c r="H27" i="51"/>
  <c r="E79" i="63"/>
  <c r="H37" i="84"/>
  <c r="K44" i="67"/>
  <c r="O83" i="48"/>
  <c r="H9" i="32"/>
  <c r="H45" i="27"/>
  <c r="J38" i="82"/>
  <c r="L56" i="34"/>
  <c r="J9" i="29"/>
  <c r="I80" i="26"/>
  <c r="N4" i="57"/>
  <c r="D5" i="36"/>
  <c r="D49" i="54"/>
  <c r="M107" i="44"/>
  <c r="K22" i="82"/>
  <c r="D57" i="58"/>
  <c r="H33" i="80"/>
  <c r="D77" i="55"/>
  <c r="K15" i="90"/>
  <c r="J101" i="41"/>
  <c r="H33" i="87"/>
  <c r="M36" i="40"/>
  <c r="N106" i="53"/>
  <c r="F28" i="43"/>
  <c r="H36" i="47"/>
  <c r="H31" i="26"/>
  <c r="G103" i="68"/>
  <c r="G94" i="85"/>
  <c r="H64" i="66"/>
  <c r="E100" i="36"/>
  <c r="M97" i="90"/>
  <c r="I68" i="75"/>
  <c r="J77" i="45"/>
  <c r="N8" i="25"/>
  <c r="J5" i="51"/>
  <c r="H7" i="92"/>
  <c r="J86" i="25"/>
  <c r="I86" i="82"/>
  <c r="L88" i="77"/>
  <c r="H98" i="46"/>
  <c r="H62" i="92"/>
  <c r="O37" i="96"/>
  <c r="M73" i="53"/>
  <c r="D38" i="80"/>
  <c r="L58" i="67"/>
  <c r="N51" i="56"/>
  <c r="O36" i="33"/>
  <c r="I19" i="53"/>
  <c r="CD76" i="3"/>
  <c r="F89" i="80"/>
  <c r="F80" i="82"/>
  <c r="N25" i="60"/>
  <c r="M37" i="44"/>
  <c r="F27" i="48"/>
  <c r="K12" i="33"/>
  <c r="N83" i="47"/>
  <c r="K107" i="49"/>
  <c r="K34" i="58"/>
  <c r="K14" i="90"/>
  <c r="G100" i="83"/>
  <c r="L53" i="49"/>
  <c r="D38" i="91"/>
  <c r="J4" i="25"/>
  <c r="N17" i="69"/>
  <c r="E56" i="63"/>
  <c r="J19" i="50"/>
  <c r="J104" i="94"/>
  <c r="M42" i="76"/>
  <c r="F13" i="53"/>
  <c r="J20" i="48"/>
  <c r="G49" i="50"/>
  <c r="F16" i="60"/>
  <c r="N38" i="27"/>
  <c r="N37" i="48"/>
  <c r="F17" i="27"/>
  <c r="J25" i="50"/>
  <c r="F32" i="90"/>
  <c r="I44" i="35"/>
  <c r="L62" i="71"/>
  <c r="E101" i="40"/>
  <c r="J25" i="49"/>
  <c r="I30" i="94"/>
  <c r="G54" i="60"/>
  <c r="F43" i="77"/>
  <c r="L26" i="83"/>
  <c r="F88" i="41"/>
  <c r="N86" i="64"/>
  <c r="I26" i="71"/>
  <c r="K44" i="62"/>
  <c r="E58" i="89"/>
  <c r="F19" i="59"/>
  <c r="J15" i="40"/>
  <c r="G30" i="38"/>
  <c r="D97" i="32"/>
  <c r="K103" i="48"/>
  <c r="J56" i="86"/>
  <c r="I88" i="26"/>
  <c r="E104" i="74"/>
  <c r="E27" i="70"/>
  <c r="I47" i="54"/>
  <c r="H76" i="76"/>
  <c r="M86" i="94"/>
  <c r="F58" i="61"/>
  <c r="E76" i="48"/>
  <c r="J98" i="91"/>
  <c r="H95" i="25"/>
  <c r="N29" i="51"/>
  <c r="E55" i="59"/>
  <c r="O47" i="66"/>
  <c r="M94" i="44"/>
  <c r="H106" i="76"/>
  <c r="K76" i="75"/>
  <c r="M38" i="34"/>
  <c r="O49" i="89"/>
  <c r="J97" i="19"/>
  <c r="O73" i="89"/>
  <c r="H82" i="60"/>
  <c r="I62" i="38"/>
  <c r="I24" i="82"/>
  <c r="K16" i="26"/>
  <c r="I83" i="34"/>
  <c r="G49" i="84"/>
  <c r="L67" i="89"/>
  <c r="N29" i="87"/>
  <c r="J86" i="35"/>
  <c r="CB41" i="3"/>
  <c r="I98" i="30"/>
  <c r="J86" i="53"/>
  <c r="L22" i="71"/>
  <c r="N56" i="83"/>
  <c r="G14" i="96"/>
  <c r="G20" i="87"/>
  <c r="N54" i="75"/>
  <c r="F89" i="35"/>
  <c r="G82" i="39"/>
  <c r="L92" i="36"/>
  <c r="H85" i="90"/>
  <c r="D16" i="69"/>
  <c r="M46" i="89"/>
  <c r="E65" i="46"/>
  <c r="H98" i="33"/>
  <c r="H59" i="53"/>
  <c r="L27" i="89"/>
  <c r="I4" i="19"/>
  <c r="D28" i="56"/>
  <c r="N98" i="72"/>
  <c r="H29" i="65"/>
  <c r="J6" i="33"/>
  <c r="J54" i="59"/>
  <c r="O7" i="78"/>
  <c r="M79" i="19"/>
  <c r="L55" i="35"/>
  <c r="F38" i="67"/>
  <c r="O88" i="81"/>
  <c r="D59" i="48"/>
  <c r="K44" i="60"/>
  <c r="D59" i="53"/>
  <c r="L88" i="75"/>
  <c r="E94" i="65"/>
  <c r="I14" i="68"/>
  <c r="N18" i="78"/>
  <c r="G54" i="79"/>
  <c r="J67" i="73"/>
  <c r="H44" i="58"/>
  <c r="O79" i="87"/>
  <c r="L103" i="89"/>
  <c r="O86" i="66"/>
  <c r="N88" i="33"/>
  <c r="G42" i="54"/>
  <c r="J68" i="87"/>
  <c r="H16" i="64"/>
  <c r="O107" i="35"/>
  <c r="I68" i="55"/>
  <c r="O19" i="43"/>
  <c r="L58" i="38"/>
  <c r="G92" i="91"/>
  <c r="E100" i="84"/>
  <c r="F67" i="72"/>
  <c r="F97" i="66"/>
  <c r="H9" i="94"/>
  <c r="L15" i="68"/>
  <c r="L70" i="54"/>
  <c r="K8" i="38"/>
  <c r="L20" i="56"/>
  <c r="F16" i="51"/>
  <c r="M11" i="84"/>
  <c r="J107" i="81"/>
  <c r="G40" i="78"/>
  <c r="D11" i="67"/>
  <c r="H36" i="45"/>
  <c r="L15" i="54"/>
  <c r="M80" i="27"/>
  <c r="H40" i="92"/>
  <c r="O76" i="83"/>
  <c r="L61" i="56"/>
  <c r="F101" i="83"/>
  <c r="O12" i="25"/>
  <c r="O48" i="62"/>
  <c r="E12" i="54"/>
  <c r="M7" i="94"/>
  <c r="J24" i="44"/>
  <c r="M48" i="48"/>
  <c r="G24" i="41"/>
  <c r="N64" i="25"/>
  <c r="N103" i="48"/>
  <c r="O33" i="67"/>
  <c r="I21" i="29"/>
  <c r="E25" i="92"/>
  <c r="E11" i="26"/>
  <c r="J40" i="19"/>
  <c r="F80" i="48"/>
  <c r="H53" i="67"/>
  <c r="N86" i="26"/>
  <c r="J20" i="68"/>
  <c r="J22" i="60"/>
  <c r="I8" i="39"/>
  <c r="H100" i="94"/>
  <c r="G41" i="72"/>
  <c r="J58" i="71"/>
  <c r="K15" i="76"/>
  <c r="O85" i="30"/>
  <c r="I30" i="54"/>
  <c r="E70" i="78"/>
  <c r="E94" i="27"/>
  <c r="E33" i="87"/>
  <c r="M42" i="86"/>
  <c r="E53" i="41"/>
  <c r="K65" i="47"/>
  <c r="N19" i="59"/>
  <c r="J14" i="83"/>
  <c r="D107" i="94"/>
  <c r="G85" i="54"/>
  <c r="I10" i="70"/>
  <c r="L47" i="96"/>
  <c r="I55" i="33"/>
  <c r="O32" i="72"/>
  <c r="L97" i="29"/>
  <c r="G17" i="93"/>
  <c r="E27" i="63"/>
  <c r="K8" i="19"/>
  <c r="O58" i="75"/>
  <c r="I58" i="73"/>
  <c r="N40" i="59"/>
  <c r="N52" i="41"/>
  <c r="E76" i="91"/>
  <c r="J41" i="66"/>
  <c r="E47" i="63"/>
  <c r="E82" i="74"/>
  <c r="D7" i="83"/>
  <c r="H62" i="94"/>
  <c r="F42" i="58"/>
  <c r="J29" i="69"/>
  <c r="G94" i="43"/>
  <c r="J37" i="47"/>
  <c r="F54" i="33"/>
  <c r="CG77" i="3"/>
  <c r="O42" i="75"/>
  <c r="L65" i="59"/>
  <c r="M74" i="35"/>
  <c r="K38" i="89"/>
  <c r="K44" i="33"/>
  <c r="I18" i="80"/>
  <c r="N39" i="51"/>
  <c r="J91" i="45"/>
  <c r="L53" i="60"/>
  <c r="AA45" i="96"/>
  <c r="D21" i="22"/>
  <c r="K18" i="40"/>
  <c r="K54" i="32"/>
  <c r="O103" i="66"/>
  <c r="E92" i="67"/>
  <c r="I92" i="47"/>
  <c r="I74" i="87"/>
  <c r="N98" i="70"/>
  <c r="I14" i="82"/>
  <c r="L94" i="60"/>
  <c r="J47" i="81"/>
  <c r="I50" i="32"/>
  <c r="H53" i="39"/>
  <c r="N57" i="72"/>
  <c r="O12" i="86"/>
  <c r="N74" i="59"/>
  <c r="N62" i="92"/>
  <c r="F91" i="53"/>
  <c r="E28" i="54"/>
  <c r="F54" i="26"/>
  <c r="I55" i="75"/>
  <c r="F20" i="89"/>
  <c r="N76" i="59"/>
  <c r="E95" i="72"/>
  <c r="K25" i="63"/>
  <c r="N22" i="78"/>
  <c r="G74" i="50"/>
  <c r="G35" i="33"/>
  <c r="L73" i="54"/>
  <c r="N20" i="75"/>
  <c r="F28" i="41"/>
  <c r="F37" i="78"/>
  <c r="H7" i="76"/>
  <c r="K82" i="19"/>
  <c r="M42" i="91"/>
  <c r="J70" i="36"/>
  <c r="D47" i="19"/>
  <c r="O34" i="27"/>
  <c r="H50" i="65"/>
  <c r="O23" i="46"/>
  <c r="N35" i="48"/>
  <c r="E32" i="76"/>
  <c r="D51" i="70"/>
  <c r="J48" i="94"/>
  <c r="N103" i="72"/>
  <c r="I52" i="81"/>
  <c r="F89" i="47"/>
  <c r="J56" i="87"/>
  <c r="H67" i="60"/>
  <c r="H17" i="33"/>
  <c r="F36" i="78"/>
  <c r="H8" i="85"/>
  <c r="L17" i="29"/>
  <c r="J6" i="71"/>
  <c r="O32" i="90"/>
  <c r="I39" i="29"/>
  <c r="D80" i="78"/>
  <c r="H34" i="81"/>
  <c r="J5" i="46"/>
  <c r="N91" i="66"/>
  <c r="I46" i="45"/>
  <c r="L41" i="71"/>
  <c r="G100" i="92"/>
  <c r="L85" i="91"/>
  <c r="H4" i="39"/>
  <c r="N74" i="82"/>
  <c r="G67" i="57"/>
  <c r="F71" i="63"/>
  <c r="M5"/>
  <c r="J97" i="75"/>
  <c r="N25" i="55"/>
  <c r="I62" i="63"/>
  <c r="E39" i="50"/>
  <c r="F30" i="55"/>
  <c r="N29"/>
  <c r="E44" i="79"/>
  <c r="I24" i="90"/>
  <c r="G89" i="82"/>
  <c r="J33" i="47"/>
  <c r="E61" i="91"/>
  <c r="N56" i="46"/>
  <c r="I91" i="45"/>
  <c r="O101" i="75"/>
  <c r="O49" i="49"/>
  <c r="D70" i="61"/>
  <c r="L62" i="40"/>
  <c r="I106" i="79"/>
  <c r="I55" i="83"/>
  <c r="E30" i="59"/>
  <c r="G12" i="62"/>
  <c r="J55" i="70"/>
  <c r="E18" i="68"/>
  <c r="G92" i="32"/>
  <c r="E104" i="58"/>
  <c r="N34" i="89"/>
  <c r="N33" i="53"/>
  <c r="H71" i="94"/>
  <c r="G92" i="65"/>
  <c r="M65" i="58"/>
  <c r="L92" i="70"/>
  <c r="G83" i="25"/>
  <c r="O5" i="40"/>
  <c r="H29" i="92"/>
  <c r="O36" i="68"/>
  <c r="J74" i="84"/>
  <c r="M54" i="90"/>
  <c r="O64" i="92"/>
  <c r="L88" i="76"/>
  <c r="D24" i="56"/>
  <c r="M16" i="40"/>
  <c r="G76" i="25"/>
  <c r="F42" i="92"/>
  <c r="D38" i="40"/>
  <c r="G54"/>
  <c r="N42" i="45"/>
  <c r="K49" i="43"/>
  <c r="G55" i="75"/>
  <c r="G95" i="94"/>
  <c r="J54" i="64"/>
  <c r="I100" i="50"/>
  <c r="L13" i="38"/>
  <c r="M74" i="64"/>
  <c r="M7" i="33"/>
  <c r="J95" i="48"/>
  <c r="H52" i="25"/>
  <c r="J10" i="27"/>
  <c r="J56" i="26"/>
  <c r="J82" i="55"/>
  <c r="L103" i="57"/>
  <c r="J17" i="91"/>
  <c r="K14" i="84"/>
  <c r="J9" i="59"/>
  <c r="K8" i="75"/>
  <c r="D39" i="47"/>
  <c r="G49" i="66"/>
  <c r="E32" i="77"/>
  <c r="E74" i="74"/>
  <c r="J88" i="41"/>
  <c r="O36" i="46"/>
  <c r="K77" i="43"/>
  <c r="H73" i="68"/>
  <c r="G57" i="89"/>
  <c r="G53" i="71"/>
  <c r="G54" i="47"/>
  <c r="I79" i="36"/>
  <c r="L36" i="87"/>
  <c r="M29" i="41"/>
  <c r="G14" i="30"/>
  <c r="G7" i="41"/>
  <c r="F22" i="80"/>
  <c r="H26" i="70"/>
  <c r="O13" i="25"/>
  <c r="E9" i="92"/>
  <c r="H101" i="19"/>
  <c r="M92" i="80"/>
  <c r="K50" i="36"/>
  <c r="G83" i="44"/>
  <c r="F4" i="40"/>
  <c r="K21"/>
  <c r="H47" i="34"/>
  <c r="D52" i="45"/>
  <c r="G50" i="72"/>
  <c r="D83" i="85"/>
  <c r="F106" i="59"/>
  <c r="L107" i="40"/>
  <c r="I80" i="58"/>
  <c r="L107" i="47"/>
  <c r="G82" i="81"/>
  <c r="I25" i="93"/>
  <c r="E56" i="32"/>
  <c r="O68" i="53"/>
  <c r="J33" i="51"/>
  <c r="J106" i="63"/>
  <c r="O24" i="70"/>
  <c r="G62" i="45"/>
  <c r="G91" i="80"/>
  <c r="N27" i="55"/>
  <c r="N91" i="57"/>
  <c r="I44" i="25"/>
  <c r="L6" i="64"/>
  <c r="J46" i="75"/>
  <c r="K62" i="70"/>
  <c r="K16" i="91"/>
  <c r="M54" i="30"/>
  <c r="I29" i="86"/>
  <c r="I19" i="30"/>
  <c r="O19" i="75"/>
  <c r="D100" i="94"/>
  <c r="M13" i="78"/>
  <c r="K14" i="86"/>
  <c r="D98" i="41"/>
  <c r="M39" i="47"/>
  <c r="F14" i="33"/>
  <c r="L13" i="93"/>
  <c r="J56" i="75"/>
  <c r="F42" i="72"/>
  <c r="E76" i="62"/>
  <c r="F40" i="81"/>
  <c r="F17" i="40"/>
  <c r="M54" i="46"/>
  <c r="E83" i="36"/>
  <c r="L70" i="26"/>
  <c r="K18" i="77"/>
  <c r="G46" i="56"/>
  <c r="G74" i="29"/>
  <c r="K19" i="39"/>
  <c r="I37" i="90"/>
  <c r="F41" i="76"/>
  <c r="G106" i="39"/>
  <c r="M104" i="69"/>
  <c r="D88" i="72"/>
  <c r="K52" i="46"/>
  <c r="O92" i="91"/>
  <c r="N86" i="40"/>
  <c r="J20" i="51"/>
  <c r="D36" i="86"/>
  <c r="F55" i="45"/>
  <c r="G22" i="87"/>
  <c r="J24" i="59"/>
  <c r="I68" i="35"/>
  <c r="O31" i="30"/>
  <c r="I48"/>
  <c r="N79" i="63"/>
  <c r="F51" i="47"/>
  <c r="L53" i="48"/>
  <c r="F28" i="59"/>
  <c r="O18" i="63"/>
  <c r="K28" i="94"/>
  <c r="K35" i="25"/>
  <c r="D85" i="72"/>
  <c r="L17" i="56"/>
  <c r="D39" i="79"/>
  <c r="G58" i="82"/>
  <c r="K46" i="64"/>
  <c r="O54" i="68"/>
  <c r="O97" i="77"/>
  <c r="H26" i="30"/>
  <c r="M57" i="38"/>
  <c r="D14" i="68"/>
  <c r="D29" i="91"/>
  <c r="M19" i="86"/>
  <c r="I37" i="87"/>
  <c r="I61" i="76"/>
  <c r="M48" i="82"/>
  <c r="L92" i="91"/>
  <c r="E44" i="51"/>
  <c r="D107" i="82"/>
  <c r="K86" i="76"/>
  <c r="G43" i="80"/>
  <c r="I23" i="39"/>
  <c r="F33" i="32"/>
  <c r="K8" i="63"/>
  <c r="E100" i="79"/>
  <c r="G28" i="74"/>
  <c r="D12" i="81"/>
  <c r="M62" i="90"/>
  <c r="D83" i="52"/>
  <c r="J79" i="48"/>
  <c r="I80" i="59"/>
  <c r="L77" i="46"/>
  <c r="I76" i="53"/>
  <c r="K48" i="68"/>
  <c r="J34" i="64"/>
  <c r="H23" i="89"/>
  <c r="J65" i="53"/>
  <c r="G79" i="82"/>
  <c r="O107" i="43"/>
  <c r="D11" i="81"/>
  <c r="J7" i="64"/>
  <c r="G74" i="33"/>
  <c r="L27" i="38"/>
  <c r="E38" i="89"/>
  <c r="I17" i="93"/>
  <c r="L23"/>
  <c r="K17" i="54"/>
  <c r="E101" i="19"/>
  <c r="H100" i="40"/>
  <c r="I57" i="46"/>
  <c r="G33" i="30"/>
  <c r="F107" i="83"/>
  <c r="K55" i="93"/>
  <c r="J8" i="33"/>
  <c r="E17" i="79"/>
  <c r="F28" i="51"/>
  <c r="O27" i="81"/>
  <c r="F10" i="52"/>
  <c r="O52" i="25"/>
  <c r="J26" i="51"/>
  <c r="E104" i="38"/>
  <c r="M38" i="81"/>
  <c r="H4" i="30"/>
  <c r="H98" i="66"/>
  <c r="L14" i="32"/>
  <c r="E24" i="33"/>
  <c r="E19" i="89"/>
  <c r="J94" i="79"/>
  <c r="I5" i="84"/>
  <c r="I15" i="19"/>
  <c r="D17" i="79"/>
  <c r="J30" i="92"/>
  <c r="I68" i="25"/>
  <c r="I59" i="51"/>
  <c r="G15" i="19"/>
  <c r="CD37" i="3" s="1"/>
  <c r="N18" i="36"/>
  <c r="N52" i="32"/>
  <c r="K39" i="30"/>
  <c r="M104" i="32"/>
  <c r="F28" i="75"/>
  <c r="F85" i="52"/>
  <c r="L100" i="35"/>
  <c r="E86" i="91"/>
  <c r="O42" i="25"/>
  <c r="J95" i="39"/>
  <c r="M33" i="84"/>
  <c r="J98" i="70"/>
  <c r="F16" i="61"/>
  <c r="O83" i="27"/>
  <c r="L40" i="66"/>
  <c r="G103" i="43"/>
  <c r="O9" i="90"/>
  <c r="K22" i="49"/>
  <c r="G85" i="72"/>
  <c r="F77" i="46"/>
  <c r="D52" i="85"/>
  <c r="I40" i="32"/>
  <c r="D53" i="71"/>
  <c r="J25" i="55"/>
  <c r="E70" i="43"/>
  <c r="D6" i="47"/>
  <c r="L43" i="92"/>
  <c r="O39" i="89"/>
  <c r="D22" i="52"/>
  <c r="J86" i="45"/>
  <c r="L74" i="87"/>
  <c r="D12" i="56"/>
  <c r="G48" i="74"/>
  <c r="F8" i="35"/>
  <c r="O52" i="81"/>
  <c r="L73" i="51"/>
  <c r="F98" i="73"/>
  <c r="E29" i="91"/>
  <c r="N71" i="92"/>
  <c r="H55" i="54"/>
  <c r="L94" i="72"/>
  <c r="J35" i="60"/>
  <c r="E4" i="68"/>
  <c r="F79" i="27"/>
  <c r="L50" i="84"/>
  <c r="J98" i="63"/>
  <c r="I68" i="94"/>
  <c r="D89" i="59"/>
  <c r="G53" i="43"/>
  <c r="G58" i="64"/>
  <c r="F70" i="32"/>
  <c r="O25" i="46"/>
  <c r="D52" i="53"/>
  <c r="D71" i="68"/>
  <c r="K5" i="33"/>
  <c r="G29"/>
  <c r="J98" i="27"/>
  <c r="M59" i="51"/>
  <c r="L47" i="68"/>
  <c r="M37" i="60"/>
  <c r="J53" i="87"/>
  <c r="N41" i="75"/>
  <c r="D5" i="47"/>
  <c r="I80" i="71"/>
  <c r="I8" i="78"/>
  <c r="O11" i="19"/>
  <c r="CL33" i="3" s="1"/>
  <c r="G52" i="52"/>
  <c r="K103" i="84"/>
  <c r="G91" i="25"/>
  <c r="K48" i="72"/>
  <c r="E20" i="26"/>
  <c r="G29" i="41"/>
  <c r="G12" i="64"/>
  <c r="G34" i="19"/>
  <c r="F12" i="91"/>
  <c r="O71" i="66"/>
  <c r="E80" i="32"/>
  <c r="L48" i="77"/>
  <c r="M12" i="72"/>
  <c r="G61" i="91"/>
  <c r="J44" i="93"/>
  <c r="D37" i="40"/>
  <c r="M40" i="70"/>
  <c r="D12" i="74"/>
  <c r="O21" i="89"/>
  <c r="L23" i="66"/>
  <c r="E104" i="46"/>
  <c r="M77" i="25"/>
  <c r="H15" i="67"/>
  <c r="F7" i="43"/>
  <c r="O53" i="40"/>
  <c r="J77" i="62"/>
  <c r="D74" i="61"/>
  <c r="M100" i="32"/>
  <c r="H57" i="47"/>
  <c r="N12" i="90"/>
  <c r="I83" i="39"/>
  <c r="E29" i="49"/>
  <c r="E22" i="82"/>
  <c r="H50" i="51"/>
  <c r="O88" i="34"/>
  <c r="L38" i="56"/>
  <c r="H77" i="52"/>
  <c r="L34" i="68"/>
  <c r="G57" i="33"/>
  <c r="E36" i="73"/>
  <c r="N88" i="90"/>
  <c r="J104" i="29"/>
  <c r="D18" i="45"/>
  <c r="D11" i="90"/>
  <c r="O104" i="61"/>
  <c r="G97" i="46"/>
  <c r="M53" i="59"/>
  <c r="O28" i="81"/>
  <c r="M25" i="44"/>
  <c r="O40" i="51"/>
  <c r="G18" i="74"/>
  <c r="D24" i="58"/>
  <c r="O17" i="47"/>
  <c r="D54" i="65"/>
  <c r="F61" i="19"/>
  <c r="E34" i="86"/>
  <c r="G26" i="65"/>
  <c r="N85" i="55"/>
  <c r="O34" i="35"/>
  <c r="D40" i="40"/>
  <c r="D30" i="93"/>
  <c r="O4" i="58"/>
  <c r="I42" i="35"/>
  <c r="H42" i="83"/>
  <c r="G22" i="55"/>
  <c r="E13" i="75"/>
  <c r="H35" i="78"/>
  <c r="G11" i="27"/>
  <c r="M95" i="93"/>
  <c r="J95" i="56"/>
  <c r="G44" i="53"/>
  <c r="K24" i="78"/>
  <c r="L89" i="92"/>
  <c r="G4" i="26"/>
  <c r="G31" i="81"/>
  <c r="M77" i="33"/>
  <c r="I51" i="79"/>
  <c r="D92" i="59"/>
  <c r="D30" i="51"/>
  <c r="F21" i="19"/>
  <c r="I59" i="53"/>
  <c r="F5" i="36"/>
  <c r="O28" i="35"/>
  <c r="J94" i="87"/>
  <c r="I18" i="79"/>
  <c r="F77" i="70"/>
  <c r="O71" i="75"/>
  <c r="L54" i="89"/>
  <c r="N79" i="93"/>
  <c r="E58"/>
  <c r="I14" i="83"/>
  <c r="E37" i="36"/>
  <c r="D14" i="41"/>
  <c r="N57" i="65"/>
  <c r="E74" i="87"/>
  <c r="N26" i="82"/>
  <c r="N104" i="70"/>
  <c r="J31" i="49"/>
  <c r="M20" i="19"/>
  <c r="CJ42" i="3" s="1"/>
  <c r="O98" i="46"/>
  <c r="D101" i="59"/>
  <c r="H88" i="54"/>
  <c r="H41" i="53"/>
  <c r="CG69" i="3"/>
  <c r="K54" i="45"/>
  <c r="N8" i="44"/>
  <c r="F6" i="69"/>
  <c r="F65" i="39"/>
  <c r="M10" i="55"/>
  <c r="G5" i="85"/>
  <c r="F54" i="62"/>
  <c r="L67" i="41"/>
  <c r="N47" i="33"/>
  <c r="H36" i="81"/>
  <c r="O16" i="90"/>
  <c r="K30" i="60"/>
  <c r="M18" i="62"/>
  <c r="D61" i="58"/>
  <c r="N54" i="55"/>
  <c r="N68" i="76"/>
  <c r="I9" i="82"/>
  <c r="N64" i="67"/>
  <c r="E65" i="64"/>
  <c r="G4" i="50"/>
  <c r="H6" i="25"/>
  <c r="D77" i="73"/>
  <c r="O94" i="33"/>
  <c r="K67" i="89"/>
  <c r="D74" i="75"/>
  <c r="L9" i="34"/>
  <c r="F46" i="26"/>
  <c r="I35" i="55"/>
  <c r="D28" i="32"/>
  <c r="J62" i="59"/>
  <c r="D57" i="67"/>
  <c r="I39" i="68"/>
  <c r="K55" i="94"/>
  <c r="N53" i="93"/>
  <c r="N89" i="81"/>
  <c r="I39" i="62"/>
  <c r="N4" i="65"/>
  <c r="D50" i="86"/>
  <c r="L22" i="63"/>
  <c r="K67" i="87"/>
  <c r="E19" i="61"/>
  <c r="E9" i="59"/>
  <c r="H73" i="56"/>
  <c r="G101" i="70"/>
  <c r="F76" i="43"/>
  <c r="F54"/>
  <c r="D86" i="49"/>
  <c r="N97"/>
  <c r="O64" i="40"/>
  <c r="J94" i="92"/>
  <c r="K55" i="70"/>
  <c r="F85" i="32"/>
  <c r="M91"/>
  <c r="D61" i="56"/>
  <c r="L23" i="84"/>
  <c r="F38" i="36"/>
  <c r="O47" i="91"/>
  <c r="D44" i="70"/>
  <c r="F104" i="44"/>
  <c r="O51" i="63"/>
  <c r="L40" i="56"/>
  <c r="L103" i="73"/>
  <c r="D33" i="44"/>
  <c r="F83" i="34"/>
  <c r="F43" i="65"/>
  <c r="D77" i="70"/>
  <c r="K24" i="91"/>
  <c r="O70" i="63"/>
  <c r="J104" i="53"/>
  <c r="I89" i="29"/>
  <c r="H39" i="63"/>
  <c r="I68" i="52"/>
  <c r="E54" i="56"/>
  <c r="G21" i="40"/>
  <c r="M12" i="80"/>
  <c r="J10" i="45"/>
  <c r="I77" i="93"/>
  <c r="N21" i="58"/>
  <c r="M91" i="27"/>
  <c r="N43" i="70"/>
  <c r="K89" i="84"/>
  <c r="I55" i="68"/>
  <c r="N57" i="67"/>
  <c r="D106" i="87"/>
  <c r="L29" i="57"/>
  <c r="D41" i="64"/>
  <c r="F27" i="91"/>
  <c r="H92" i="46"/>
  <c r="M68" i="47"/>
  <c r="K54" i="39"/>
  <c r="K74" i="94"/>
  <c r="E52" i="89"/>
  <c r="N20" i="68"/>
  <c r="J83" i="60"/>
  <c r="I43" i="85"/>
  <c r="K82" i="57"/>
  <c r="E82" i="82"/>
  <c r="I32" i="62"/>
  <c r="M70" i="19"/>
  <c r="O57" i="82"/>
  <c r="H6" i="52"/>
  <c r="K8" i="78"/>
  <c r="I48" i="61"/>
  <c r="J7" i="29"/>
  <c r="O95" i="86"/>
  <c r="F29" i="59"/>
  <c r="H76" i="49"/>
  <c r="E83" i="32"/>
  <c r="G77" i="94"/>
  <c r="F53" i="87"/>
  <c r="D107" i="83"/>
  <c r="G68" i="90"/>
  <c r="E50" i="27"/>
  <c r="G74" i="75"/>
  <c r="L62" i="48"/>
  <c r="O98" i="40"/>
  <c r="J43" i="25"/>
  <c r="J26" i="82"/>
  <c r="O59" i="45"/>
  <c r="H10" i="57"/>
  <c r="L82" i="45"/>
  <c r="J107" i="54"/>
  <c r="E39" i="32"/>
  <c r="K10" i="48"/>
  <c r="H94" i="38"/>
  <c r="E48" i="80"/>
  <c r="E74" i="81"/>
  <c r="G35" i="64"/>
  <c r="G53" i="19"/>
  <c r="O36" i="93"/>
  <c r="J91" i="80"/>
  <c r="K16" i="86"/>
  <c r="J49" i="66"/>
  <c r="L83" i="69"/>
  <c r="L44" i="94"/>
  <c r="M34" i="40"/>
  <c r="L76" i="30"/>
  <c r="O16" i="36"/>
  <c r="G73" i="19"/>
  <c r="E73" i="72"/>
  <c r="E12" i="73"/>
  <c r="J19" i="53"/>
  <c r="K95" i="32"/>
  <c r="J62" i="43"/>
  <c r="N62" i="33"/>
  <c r="G9" i="32"/>
  <c r="O107" i="29"/>
  <c r="F103" i="92"/>
  <c r="M11" i="91"/>
  <c r="O45" i="57"/>
  <c r="L59" i="64"/>
  <c r="J24" i="51"/>
  <c r="I4" i="62"/>
  <c r="O89" i="87"/>
  <c r="N80" i="68"/>
  <c r="M15" i="25"/>
  <c r="H82" i="63"/>
  <c r="G42" i="78"/>
  <c r="E16" i="42"/>
  <c r="J27" i="83"/>
  <c r="F39" i="94"/>
  <c r="O28" i="68"/>
  <c r="K23" i="55"/>
  <c r="M38" i="59"/>
  <c r="N30" i="76"/>
  <c r="F7" i="91"/>
  <c r="K17" i="25"/>
  <c r="N13" i="91"/>
  <c r="E49" i="92"/>
  <c r="F64" i="74"/>
  <c r="N22" i="55"/>
  <c r="G58" i="63"/>
  <c r="K101" i="29"/>
  <c r="D12" i="78"/>
  <c r="M85" i="91"/>
  <c r="F59" i="59"/>
  <c r="O12" i="47"/>
  <c r="K80" i="89"/>
  <c r="O43" i="59"/>
  <c r="O34" i="51"/>
  <c r="N45" i="36"/>
  <c r="N55" i="41"/>
  <c r="E38" i="80"/>
  <c r="F107" i="50"/>
  <c r="G97" i="30"/>
  <c r="F15" i="80"/>
  <c r="G32" i="30"/>
  <c r="F47" i="43"/>
  <c r="CC69" i="3" s="1"/>
  <c r="H88" i="68"/>
  <c r="H36" i="70"/>
  <c r="I91" i="83"/>
  <c r="E44" i="82"/>
  <c r="N33" i="25"/>
  <c r="F36" i="43"/>
  <c r="J80" i="62"/>
  <c r="L80" i="29"/>
  <c r="D39" i="92"/>
  <c r="L82" i="29"/>
  <c r="N97" i="80"/>
  <c r="E94" i="44"/>
  <c r="F7" i="93"/>
  <c r="L44" i="43"/>
  <c r="G38" i="36"/>
  <c r="L58" i="40"/>
  <c r="E47" i="69"/>
  <c r="N79" i="91"/>
  <c r="G33" i="50"/>
  <c r="G20" i="89"/>
  <c r="I59" i="29"/>
  <c r="E31" i="94"/>
  <c r="F23" i="91"/>
  <c r="J54" i="76"/>
  <c r="H28" i="47"/>
  <c r="E43" i="56"/>
  <c r="J11" i="70"/>
  <c r="D57" i="19"/>
  <c r="G29" i="68"/>
  <c r="D76" i="74"/>
  <c r="M29" i="66"/>
  <c r="N83" i="46"/>
  <c r="G64" i="48"/>
  <c r="N42" i="93"/>
  <c r="M41" i="45"/>
  <c r="I38" i="72"/>
  <c r="H53" i="48"/>
  <c r="I85" i="64"/>
  <c r="I106" i="69"/>
  <c r="F104" i="41"/>
  <c r="I101" i="61"/>
  <c r="E83" i="74"/>
  <c r="L86" i="83"/>
  <c r="F8" i="86"/>
  <c r="E10" i="35"/>
  <c r="I26" i="85"/>
  <c r="D18" i="29"/>
  <c r="O74" i="41"/>
  <c r="D7" i="19"/>
  <c r="O41" i="71"/>
  <c r="F104" i="52"/>
  <c r="O73" i="32"/>
  <c r="G20" i="76"/>
  <c r="O55" i="49"/>
  <c r="L7" i="34"/>
  <c r="O101" i="68"/>
  <c r="I65" i="49"/>
  <c r="I14" i="35"/>
  <c r="N39" i="59"/>
  <c r="L103" i="58"/>
  <c r="D35" i="71"/>
  <c r="G31" i="40"/>
  <c r="I4" i="32"/>
  <c r="K49" i="77"/>
  <c r="L44" i="61"/>
  <c r="L14" i="40"/>
  <c r="D27" i="79"/>
  <c r="F70" i="91"/>
  <c r="K4" i="32"/>
  <c r="I77" i="49"/>
  <c r="G32" i="80"/>
  <c r="J34" i="68"/>
  <c r="L33" i="32"/>
  <c r="N18" i="67"/>
  <c r="H82" i="39"/>
  <c r="J17" i="62"/>
  <c r="I107" i="44"/>
  <c r="I65" i="61"/>
  <c r="K53" i="32"/>
  <c r="F76" i="35"/>
  <c r="J21" i="53"/>
  <c r="M6" i="75"/>
  <c r="L65" i="19"/>
  <c r="H21" i="32"/>
  <c r="L31" i="91"/>
  <c r="F22" i="63"/>
  <c r="H91" i="50"/>
  <c r="K86" i="92"/>
  <c r="H33" i="52"/>
  <c r="I54" i="67"/>
  <c r="F97" i="77"/>
  <c r="J22" i="39"/>
  <c r="M67" i="19"/>
  <c r="H94" i="67"/>
  <c r="N14" i="65"/>
  <c r="H16" i="42"/>
  <c r="D36" i="47"/>
  <c r="J44" i="59"/>
  <c r="N16" i="32"/>
  <c r="N7" i="56"/>
  <c r="O4" i="39"/>
  <c r="O51" i="49"/>
  <c r="G21"/>
  <c r="H48" i="68"/>
  <c r="J19" i="92"/>
  <c r="K74" i="65"/>
  <c r="G20" i="46"/>
  <c r="L11" i="73"/>
  <c r="H50" i="60"/>
  <c r="H71" i="90"/>
  <c r="M44" i="58"/>
  <c r="F19" i="90"/>
  <c r="F10" i="82"/>
  <c r="L94" i="83"/>
  <c r="L65" i="26"/>
  <c r="K51" i="57"/>
  <c r="I59" i="34"/>
  <c r="K13" i="47"/>
  <c r="L37" i="60"/>
  <c r="N71" i="67"/>
  <c r="I56" i="75"/>
  <c r="J30" i="55"/>
  <c r="O27" i="49"/>
  <c r="M44" i="71"/>
  <c r="F19" i="64"/>
  <c r="G88" i="50"/>
  <c r="J65" i="81"/>
  <c r="F14" i="56"/>
  <c r="O26" i="65"/>
  <c r="D6" i="68"/>
  <c r="I91" i="44"/>
  <c r="K54" i="60"/>
  <c r="I21" i="48"/>
  <c r="D13" i="75"/>
  <c r="F55" i="68"/>
  <c r="I19" i="46"/>
  <c r="G89" i="83"/>
  <c r="F52" i="93"/>
  <c r="D24" i="53"/>
  <c r="D50" i="30"/>
  <c r="L47" i="72"/>
  <c r="H8" i="29"/>
  <c r="L83" i="30"/>
  <c r="F30" i="79"/>
  <c r="G19" i="58"/>
  <c r="L37" i="56"/>
  <c r="I74" i="65"/>
  <c r="O17" i="87"/>
  <c r="M21" i="56"/>
  <c r="F28" i="55"/>
  <c r="I48" i="62"/>
  <c r="N47" i="19"/>
  <c r="M70" i="49"/>
  <c r="O23" i="64"/>
  <c r="I9" i="60"/>
  <c r="M79" i="51"/>
  <c r="F29" i="33"/>
  <c r="F85" i="40"/>
  <c r="D100" i="74"/>
  <c r="J70" i="63"/>
  <c r="H37" i="45"/>
  <c r="I79" i="75"/>
  <c r="O51" i="19"/>
  <c r="J45" i="32"/>
  <c r="G37" i="52"/>
  <c r="O8" i="93"/>
  <c r="N57" i="69"/>
  <c r="D30" i="44"/>
  <c r="D7" i="78"/>
  <c r="G43" i="39"/>
  <c r="E15" i="49"/>
  <c r="D12" i="86"/>
  <c r="L14" i="63"/>
  <c r="E47" i="53"/>
  <c r="O49" i="70"/>
  <c r="D101" i="38"/>
  <c r="L42" i="90"/>
  <c r="H107" i="41"/>
  <c r="I38" i="64"/>
  <c r="D80" i="92"/>
  <c r="N25" i="90"/>
  <c r="L14" i="43"/>
  <c r="CI36" i="3" s="1"/>
  <c r="G37" i="90"/>
  <c r="I103" i="41"/>
  <c r="E73" i="26"/>
  <c r="D94" i="54"/>
  <c r="I44" i="64"/>
  <c r="D82" i="32"/>
  <c r="O40" i="46"/>
  <c r="G52" i="44"/>
  <c r="N94" i="91"/>
  <c r="F55" i="82"/>
  <c r="K41" i="46"/>
  <c r="K86" i="66"/>
  <c r="E9" i="76"/>
  <c r="M11" i="54"/>
  <c r="D23" i="87"/>
  <c r="G53" i="27"/>
  <c r="N91" i="62"/>
  <c r="D74" i="71"/>
  <c r="I64" i="30"/>
  <c r="H21" i="47"/>
  <c r="F104" i="62"/>
  <c r="H65" i="74"/>
  <c r="M32"/>
  <c r="G64" i="81"/>
  <c r="D39" i="53"/>
  <c r="E16" i="87"/>
  <c r="M41" i="93"/>
  <c r="N18" i="29"/>
  <c r="L58" i="61"/>
  <c r="J11" i="67"/>
  <c r="I54" i="59"/>
  <c r="O21" i="80"/>
  <c r="M94" i="40"/>
  <c r="D6" i="39"/>
  <c r="N4" i="72"/>
  <c r="E27" i="39"/>
  <c r="D53" i="56"/>
  <c r="E46" i="74"/>
  <c r="J103" i="68"/>
  <c r="M74" i="71"/>
  <c r="M18" i="39"/>
  <c r="J19" i="77"/>
  <c r="D5" i="71"/>
  <c r="J27" i="57"/>
  <c r="N57" i="58"/>
  <c r="M19" i="25"/>
  <c r="E95" i="74"/>
  <c r="G104" i="64"/>
  <c r="N40" i="33"/>
  <c r="O27" i="48"/>
  <c r="N53" i="91"/>
  <c r="K92" i="69"/>
  <c r="H85" i="29"/>
  <c r="G30" i="82"/>
  <c r="N70" i="93"/>
  <c r="J44" i="76"/>
  <c r="H13" i="70"/>
  <c r="J56" i="53"/>
  <c r="N48" i="39"/>
  <c r="G11" i="73"/>
  <c r="H42" i="51"/>
  <c r="N13" i="78"/>
  <c r="K39" i="29"/>
  <c r="E9" i="94"/>
  <c r="I42" i="40"/>
  <c r="I31" i="68"/>
  <c r="M88" i="47"/>
  <c r="D55" i="62"/>
  <c r="K45" i="47"/>
  <c r="I19" i="27"/>
  <c r="E31" i="80"/>
  <c r="D15" i="33"/>
  <c r="N30" i="58"/>
  <c r="G18" i="27"/>
  <c r="G32" i="85"/>
  <c r="I53" i="75"/>
  <c r="J65" i="19"/>
  <c r="I28" i="38"/>
  <c r="M104" i="55"/>
  <c r="I45" i="51"/>
  <c r="J80"/>
  <c r="F15" i="58"/>
  <c r="N65" i="65"/>
  <c r="H37" i="66"/>
  <c r="E52" i="68"/>
  <c r="E24" i="26"/>
  <c r="K25" i="51"/>
  <c r="O30" i="87"/>
  <c r="M77" i="60"/>
  <c r="N95" i="30"/>
  <c r="I12" i="77"/>
  <c r="K74" i="60"/>
  <c r="O14" i="59"/>
  <c r="D9" i="66"/>
  <c r="L10" i="57"/>
  <c r="G51" i="58"/>
  <c r="N92" i="93"/>
  <c r="M40" i="55"/>
  <c r="K85" i="51"/>
  <c r="E52" i="52"/>
  <c r="N27" i="62"/>
  <c r="L104" i="81"/>
  <c r="J52" i="30"/>
  <c r="H77" i="55"/>
  <c r="D8" i="59"/>
  <c r="M68" i="32"/>
  <c r="O77" i="57"/>
  <c r="H98"/>
  <c r="D76" i="43"/>
  <c r="F10" i="42"/>
  <c r="M98" i="25"/>
  <c r="E50" i="61"/>
  <c r="F17" i="47"/>
  <c r="E29" i="54"/>
  <c r="N54" i="59"/>
  <c r="L6" i="47"/>
  <c r="H44" i="90"/>
  <c r="G15" i="77"/>
  <c r="E28" i="75"/>
  <c r="E67" i="87"/>
  <c r="K50" i="66"/>
  <c r="J73" i="67"/>
  <c r="G100" i="58"/>
  <c r="L94" i="47"/>
  <c r="M50" i="87"/>
  <c r="O21" i="44"/>
  <c r="D18" i="80"/>
  <c r="G86" i="25"/>
  <c r="F10" i="89"/>
  <c r="K9" i="43"/>
  <c r="I86" i="29"/>
  <c r="D46" i="92"/>
  <c r="H30" i="93"/>
  <c r="H82" i="45"/>
  <c r="K53" i="34"/>
  <c r="N73" i="73"/>
  <c r="N58" i="27"/>
  <c r="G23" i="94"/>
  <c r="E40" i="73"/>
  <c r="K55" i="47"/>
  <c r="J9" i="48"/>
  <c r="O14" i="45"/>
  <c r="D45" i="19"/>
  <c r="F71" i="68"/>
  <c r="M15" i="41"/>
  <c r="E58" i="54"/>
  <c r="H97" i="73"/>
  <c r="D44" i="29"/>
  <c r="E29" i="47"/>
  <c r="O104" i="82"/>
  <c r="F86" i="73"/>
  <c r="N100" i="74"/>
  <c r="H17" i="44"/>
  <c r="K100" i="51"/>
  <c r="F83" i="73"/>
  <c r="M22" i="43"/>
  <c r="D70" i="82"/>
  <c r="E88" i="51"/>
  <c r="N23" i="59"/>
  <c r="J80" i="46"/>
  <c r="K18" i="26"/>
  <c r="L19" i="45"/>
  <c r="E80"/>
  <c r="F19" i="82"/>
  <c r="G51" i="38"/>
  <c r="I36" i="34"/>
  <c r="J92" i="78"/>
  <c r="K41" i="65"/>
  <c r="E50" i="34"/>
  <c r="F55" i="44"/>
  <c r="J98" i="29"/>
  <c r="F56"/>
  <c r="J13" i="41"/>
  <c r="O22" i="65"/>
  <c r="E100" i="75"/>
  <c r="O21" i="92"/>
  <c r="I33" i="65"/>
  <c r="O30" i="84"/>
  <c r="I6" i="47"/>
  <c r="N100" i="51"/>
  <c r="K20" i="90"/>
  <c r="N57" i="29"/>
  <c r="I70" i="60"/>
  <c r="G29" i="59"/>
  <c r="O58" i="65"/>
  <c r="L36" i="38"/>
  <c r="I33" i="32"/>
  <c r="K77" i="74"/>
  <c r="L101" i="87"/>
  <c r="O44" i="67"/>
  <c r="N71" i="80"/>
  <c r="N83" i="44"/>
  <c r="L9" i="78"/>
  <c r="N7" i="91"/>
  <c r="M67" i="86"/>
  <c r="J42" i="93"/>
  <c r="D67" i="70"/>
  <c r="L100" i="68"/>
  <c r="I56" i="39"/>
  <c r="F46" i="32"/>
  <c r="O18" i="48"/>
  <c r="L33" i="55"/>
  <c r="D25" i="39"/>
  <c r="H74" i="85"/>
  <c r="F48" i="71"/>
  <c r="M45" i="56"/>
  <c r="H41" i="45"/>
  <c r="H51" i="69"/>
  <c r="L103" i="77"/>
  <c r="F19" i="44"/>
  <c r="K14" i="56"/>
  <c r="H40" i="49"/>
  <c r="E14" i="56"/>
  <c r="N8" i="27"/>
  <c r="G34" i="42"/>
  <c r="E21" i="59"/>
  <c r="O88" i="38"/>
  <c r="H29" i="79"/>
  <c r="K28" i="76"/>
  <c r="O23" i="43"/>
  <c r="E49" i="48"/>
  <c r="N33" i="58"/>
  <c r="F7" i="87"/>
  <c r="L13" i="70"/>
  <c r="J15" i="51"/>
  <c r="D89" i="46"/>
  <c r="O5" i="74"/>
  <c r="F25" i="59"/>
  <c r="L98" i="34"/>
  <c r="I92" i="64"/>
  <c r="O70" i="62"/>
  <c r="M43" i="77"/>
  <c r="F46" i="82"/>
  <c r="J71" i="38"/>
  <c r="O51" i="65"/>
  <c r="D71" i="72"/>
  <c r="H79" i="86"/>
  <c r="L12" i="64"/>
  <c r="N38" i="53"/>
  <c r="F91" i="59"/>
  <c r="K56" i="51"/>
  <c r="M39" i="57"/>
  <c r="I7" i="80"/>
  <c r="L7" i="69"/>
  <c r="D91" i="59"/>
  <c r="E101" i="36"/>
  <c r="G54" i="71"/>
  <c r="M77" i="30"/>
  <c r="G28" i="94"/>
  <c r="I74"/>
  <c r="D65" i="83"/>
  <c r="D56" i="89"/>
  <c r="F26" i="82"/>
  <c r="L31" i="36"/>
  <c r="G11" i="41"/>
  <c r="G80" i="60"/>
  <c r="L9" i="30"/>
  <c r="J8" i="62"/>
  <c r="K25" i="49"/>
  <c r="N80" i="86"/>
  <c r="J71" i="41"/>
  <c r="F9" i="75"/>
  <c r="K59" i="80"/>
  <c r="M54"/>
  <c r="D32" i="60"/>
  <c r="J86" i="57"/>
  <c r="D67" i="76"/>
  <c r="H19" i="50"/>
  <c r="K68" i="70"/>
  <c r="E34" i="56"/>
  <c r="E44" i="38"/>
  <c r="F74" i="69"/>
  <c r="N6" i="30"/>
  <c r="J35" i="57"/>
  <c r="G101" i="54"/>
  <c r="L57" i="43"/>
  <c r="E16" i="38"/>
  <c r="D22" i="33"/>
  <c r="O88" i="36"/>
  <c r="G49" i="94"/>
  <c r="D31" i="86"/>
  <c r="L74" i="43"/>
  <c r="K52" i="32"/>
  <c r="M71" i="35"/>
  <c r="L40" i="89"/>
  <c r="J82" i="59"/>
  <c r="E59" i="60"/>
  <c r="M65" i="27"/>
  <c r="H47" i="78"/>
  <c r="E31" i="60"/>
  <c r="K8" i="48"/>
  <c r="D50" i="19"/>
  <c r="D18" i="58"/>
  <c r="I79" i="56"/>
  <c r="M64" i="86"/>
  <c r="E10" i="50"/>
  <c r="E106" i="84"/>
  <c r="H10" i="26"/>
  <c r="I46" i="81"/>
  <c r="I45" i="32"/>
  <c r="L41" i="89"/>
  <c r="F95" i="69"/>
  <c r="D82" i="82"/>
  <c r="N74" i="64"/>
  <c r="N43" i="47"/>
  <c r="D30" i="87"/>
  <c r="L95" i="35"/>
  <c r="I95" i="41"/>
  <c r="D67" i="35"/>
  <c r="D71" i="26"/>
  <c r="M12" i="41"/>
  <c r="H17" i="91"/>
  <c r="N70" i="40"/>
  <c r="I45" i="81"/>
  <c r="M92" i="48"/>
  <c r="H20" i="26"/>
  <c r="E64" i="30"/>
  <c r="G82" i="83"/>
  <c r="I22" i="53"/>
  <c r="K5" i="82"/>
  <c r="L91" i="60"/>
  <c r="N47" i="54"/>
  <c r="F43" i="79"/>
  <c r="F4" i="71"/>
  <c r="K73" i="91"/>
  <c r="M20" i="77"/>
  <c r="M32" i="53"/>
  <c r="L51" i="76"/>
  <c r="L107" i="43"/>
  <c r="I22" i="82"/>
  <c r="L89" i="83"/>
  <c r="M31" i="54"/>
  <c r="D21" i="59"/>
  <c r="I58" i="93"/>
  <c r="F104" i="30"/>
  <c r="M51" i="59"/>
  <c r="F100" i="92"/>
  <c r="F53" i="50"/>
  <c r="K31" i="25"/>
  <c r="F100" i="50"/>
  <c r="L33" i="47"/>
  <c r="E59" i="32"/>
  <c r="M14" i="26"/>
  <c r="G58" i="71"/>
  <c r="F104" i="83"/>
  <c r="D29" i="94"/>
  <c r="E18" i="45"/>
  <c r="F17" i="84"/>
  <c r="N88" i="73"/>
  <c r="K106" i="58"/>
  <c r="K39" i="48"/>
  <c r="G14" i="51"/>
  <c r="E83" i="65"/>
  <c r="K16" i="36"/>
  <c r="L49" i="25"/>
  <c r="I16" i="73"/>
  <c r="G49" i="90"/>
  <c r="H67" i="40"/>
  <c r="M76" i="86"/>
  <c r="G53" i="70"/>
  <c r="M30" i="49"/>
  <c r="F34" i="57"/>
  <c r="D70" i="80"/>
  <c r="E56" i="58"/>
  <c r="M80" i="81"/>
  <c r="K36" i="69"/>
  <c r="D73" i="73"/>
  <c r="J42" i="40"/>
  <c r="M88" i="72"/>
  <c r="M4" i="56"/>
  <c r="I21" i="93"/>
  <c r="I70" i="41"/>
  <c r="E58" i="92"/>
  <c r="E107" i="25"/>
  <c r="F58" i="93"/>
  <c r="G55"/>
  <c r="K86" i="64"/>
  <c r="F83" i="26"/>
  <c r="G40" i="72"/>
  <c r="H20" i="51"/>
  <c r="I91" i="81"/>
  <c r="D10" i="63"/>
  <c r="M14" i="36"/>
  <c r="M43" i="43"/>
  <c r="J51" i="26"/>
  <c r="H79" i="52"/>
  <c r="F33" i="86"/>
  <c r="J52" i="35"/>
  <c r="F23" i="52"/>
  <c r="N29" i="36"/>
  <c r="O17" i="57"/>
  <c r="K4" i="91"/>
  <c r="L89" i="43"/>
  <c r="I43" i="57"/>
  <c r="L46" i="45"/>
  <c r="M43" i="27"/>
  <c r="E98" i="53"/>
  <c r="M26" i="49"/>
  <c r="E22" i="83"/>
  <c r="G47" i="62"/>
  <c r="L25" i="45"/>
  <c r="H5" i="46"/>
  <c r="L6" i="61"/>
  <c r="G88" i="75"/>
  <c r="G95" i="59"/>
  <c r="K27" i="62"/>
  <c r="F28" i="77"/>
  <c r="F25" i="43"/>
  <c r="F45" i="56"/>
  <c r="M56" i="53"/>
  <c r="O103" i="63"/>
  <c r="K64" i="38"/>
  <c r="E89" i="49"/>
  <c r="N76" i="32"/>
  <c r="H62" i="52"/>
  <c r="I37" i="70"/>
  <c r="O36" i="43"/>
  <c r="L98" i="39"/>
  <c r="F103" i="32"/>
  <c r="G59" i="45"/>
  <c r="K27" i="64"/>
  <c r="J6" i="66"/>
  <c r="E21" i="46"/>
  <c r="O32" i="60"/>
  <c r="F24" i="72"/>
  <c r="I88" i="35"/>
  <c r="N107" i="39"/>
  <c r="K71"/>
  <c r="D61" i="76"/>
  <c r="G55" i="72"/>
  <c r="G68" i="30"/>
  <c r="D49" i="68"/>
  <c r="I57" i="63"/>
  <c r="K62" i="87"/>
  <c r="E10" i="64"/>
  <c r="O95" i="40"/>
  <c r="O25" i="51"/>
  <c r="O79" i="19"/>
  <c r="D6" i="83"/>
  <c r="F43" i="82"/>
  <c r="K14" i="47"/>
  <c r="H61" i="74"/>
  <c r="J8" i="27"/>
  <c r="J35" i="32"/>
  <c r="N7" i="38"/>
  <c r="D83" i="19"/>
  <c r="H107" i="73"/>
  <c r="N88" i="29"/>
  <c r="I46" i="26"/>
  <c r="M59" i="33"/>
  <c r="E106" i="58"/>
  <c r="D35" i="72"/>
  <c r="D18" i="59"/>
  <c r="C27" i="22"/>
  <c r="F77" i="61"/>
  <c r="M41" i="66"/>
  <c r="G106" i="43"/>
  <c r="L26" i="78"/>
  <c r="L40" i="72"/>
  <c r="O98" i="59"/>
  <c r="F85" i="27"/>
  <c r="M16" i="64"/>
  <c r="K77" i="59"/>
  <c r="G43" i="87"/>
  <c r="G58" i="66"/>
  <c r="O22" i="32"/>
  <c r="N14" i="54"/>
  <c r="G62" i="63"/>
  <c r="N79" i="49"/>
  <c r="K48" i="94"/>
  <c r="E82" i="59"/>
  <c r="K74" i="40"/>
  <c r="G19" i="34"/>
  <c r="D77" i="83"/>
  <c r="J47" i="46"/>
  <c r="E12" i="51"/>
  <c r="J86" i="73"/>
  <c r="J104"/>
  <c r="H88" i="27"/>
  <c r="F42" i="40"/>
  <c r="D48" i="55"/>
  <c r="G83" i="58"/>
  <c r="O89" i="62"/>
  <c r="L16" i="48"/>
  <c r="D54" i="33"/>
  <c r="J27" i="35"/>
  <c r="M82" i="75"/>
  <c r="O35" i="81"/>
  <c r="F68" i="80"/>
  <c r="O106" i="90"/>
  <c r="E25" i="27"/>
  <c r="O104" i="75"/>
  <c r="J85" i="66"/>
  <c r="E28" i="71"/>
  <c r="J27" i="25"/>
  <c r="N39" i="34"/>
  <c r="F39" i="76"/>
  <c r="J17" i="86"/>
  <c r="E67" i="67"/>
  <c r="H74" i="63"/>
  <c r="K92" i="80"/>
  <c r="I49" i="79"/>
  <c r="J39" i="64"/>
  <c r="E12" i="90"/>
  <c r="J44" i="30"/>
  <c r="N41" i="48"/>
  <c r="N43" i="69"/>
  <c r="J43" i="29"/>
  <c r="D8" i="68"/>
  <c r="H7"/>
  <c r="M88" i="55"/>
  <c r="D104" i="94"/>
  <c r="O24" i="29"/>
  <c r="L62" i="44"/>
  <c r="O33" i="72"/>
  <c r="I74" i="86"/>
  <c r="H100" i="53"/>
  <c r="G57" i="80"/>
  <c r="H79" i="44"/>
  <c r="N17" i="64"/>
  <c r="I10" i="77"/>
  <c r="N58" i="89"/>
  <c r="D26" i="60"/>
  <c r="O32" i="87"/>
  <c r="G47" i="61"/>
  <c r="J88" i="46"/>
  <c r="F103" i="78"/>
  <c r="K65" i="87"/>
  <c r="L55" i="47"/>
  <c r="I74" i="54"/>
  <c r="J28" i="59"/>
  <c r="E70" i="84"/>
  <c r="I98" i="78"/>
  <c r="I33" i="27"/>
  <c r="F10" i="90"/>
  <c r="N53" i="53"/>
  <c r="J86" i="47"/>
  <c r="O47" i="73"/>
  <c r="K95" i="19"/>
  <c r="H21" i="82"/>
  <c r="I28" i="46"/>
  <c r="G29" i="64"/>
  <c r="O80" i="39"/>
  <c r="J55" i="45"/>
  <c r="E92"/>
  <c r="D98" i="87"/>
  <c r="G76" i="74"/>
  <c r="M85" i="51"/>
  <c r="M55" i="76"/>
  <c r="G56" i="68"/>
  <c r="O57" i="89"/>
  <c r="G38" i="84"/>
  <c r="O100" i="39"/>
  <c r="M68" i="68"/>
  <c r="N12" i="36"/>
  <c r="K34" i="64"/>
  <c r="E24" i="92"/>
  <c r="M38" i="61"/>
  <c r="E16" i="62"/>
  <c r="F28" i="87"/>
  <c r="E12" i="32"/>
  <c r="I7" i="40"/>
  <c r="K8" i="82"/>
  <c r="N77" i="89"/>
  <c r="I67" i="78"/>
  <c r="D62" i="75"/>
  <c r="H73" i="71"/>
  <c r="H32" i="59"/>
  <c r="N61" i="44"/>
  <c r="K50" i="49"/>
  <c r="J100" i="72"/>
  <c r="N22" i="56"/>
  <c r="M13" i="81"/>
  <c r="K50" i="41"/>
  <c r="M55" i="35"/>
  <c r="E16" i="72"/>
  <c r="N76" i="86"/>
  <c r="H92" i="52"/>
  <c r="H25" i="82"/>
  <c r="N32" i="60"/>
  <c r="I98" i="29"/>
  <c r="H79" i="27"/>
  <c r="M6" i="40"/>
  <c r="O76" i="78"/>
  <c r="G70" i="47"/>
  <c r="CG58" i="3"/>
  <c r="M19" i="82"/>
  <c r="H34" i="41"/>
  <c r="CA26" i="3"/>
  <c r="M41" i="46"/>
  <c r="J106" i="89"/>
  <c r="J38" i="86"/>
  <c r="D61" i="29"/>
  <c r="F49" i="34"/>
  <c r="H48" i="73"/>
  <c r="G43" i="67"/>
  <c r="G9" i="27"/>
  <c r="H19" i="51"/>
  <c r="H106" i="79"/>
  <c r="L68" i="74"/>
  <c r="M76" i="71"/>
  <c r="D32" i="57"/>
  <c r="H30" i="68"/>
  <c r="J19" i="66"/>
  <c r="J6" i="79"/>
  <c r="N28" i="72"/>
  <c r="D62"/>
  <c r="D64"/>
  <c r="N46" i="25"/>
  <c r="I18" i="58"/>
  <c r="L13" i="47"/>
  <c r="M18" i="70"/>
  <c r="H98" i="63"/>
  <c r="N48" i="19"/>
  <c r="CK70" i="3" s="1"/>
  <c r="E50" i="67"/>
  <c r="K11" i="43"/>
  <c r="M49" i="35"/>
  <c r="E76" i="66"/>
  <c r="H46" i="59"/>
  <c r="K91" i="29"/>
  <c r="F35" i="89"/>
  <c r="O103" i="59"/>
  <c r="O48" i="43"/>
  <c r="H34" i="65"/>
  <c r="D101" i="61"/>
  <c r="H25" i="85"/>
  <c r="I22" i="45"/>
  <c r="J82" i="80"/>
  <c r="O76" i="40"/>
  <c r="E31" i="64"/>
  <c r="M54" i="87"/>
  <c r="F12" i="77"/>
  <c r="F13" i="92"/>
  <c r="K97" i="77"/>
  <c r="O51"/>
  <c r="H94" i="91"/>
  <c r="H21" i="76"/>
  <c r="M91" i="72"/>
  <c r="N98" i="83"/>
  <c r="N13" i="38"/>
  <c r="O45" i="26"/>
  <c r="M20" i="89"/>
  <c r="I86" i="83"/>
  <c r="M18" i="44"/>
  <c r="I101" i="83"/>
  <c r="J67" i="71"/>
  <c r="F39" i="68"/>
  <c r="F64" i="41"/>
  <c r="O35" i="53"/>
  <c r="D89" i="80"/>
  <c r="N27" i="49"/>
  <c r="G12" i="80"/>
  <c r="F70" i="77"/>
  <c r="K26" i="25"/>
  <c r="E34" i="68"/>
  <c r="J62" i="93"/>
  <c r="F28" i="52"/>
  <c r="L92" i="71"/>
  <c r="E73" i="89"/>
  <c r="K38" i="47"/>
  <c r="F88" i="50"/>
  <c r="M23" i="45"/>
  <c r="D38" i="58"/>
  <c r="N92" i="53"/>
  <c r="L57" i="86"/>
  <c r="O67" i="43"/>
  <c r="J18" i="69"/>
  <c r="J77" i="72"/>
  <c r="B11" i="97"/>
  <c r="N71" i="81"/>
  <c r="M16" i="70"/>
  <c r="K10" i="77"/>
  <c r="H77" i="30"/>
  <c r="N48" i="46"/>
  <c r="H94" i="32"/>
  <c r="M52" i="73"/>
  <c r="E42" i="76"/>
  <c r="H44" i="29"/>
  <c r="K55" i="75"/>
  <c r="D89" i="39"/>
  <c r="L44" i="56"/>
  <c r="H37" i="69"/>
  <c r="J85" i="84"/>
  <c r="G94" i="79"/>
  <c r="M83" i="65"/>
  <c r="H71" i="61"/>
  <c r="O95" i="25"/>
  <c r="N24" i="54"/>
  <c r="K14" i="73"/>
  <c r="N56" i="26"/>
  <c r="D61" i="60"/>
  <c r="F76" i="66"/>
  <c r="G104" i="93"/>
  <c r="E95" i="55"/>
  <c r="O64" i="72"/>
  <c r="H79" i="57"/>
  <c r="N48" i="58"/>
  <c r="G88" i="91"/>
  <c r="D70" i="74"/>
  <c r="N74" i="39"/>
  <c r="K55" i="64"/>
  <c r="J82" i="62"/>
  <c r="F83" i="54"/>
  <c r="M46" i="27"/>
  <c r="H82" i="36"/>
  <c r="E12" i="47"/>
  <c r="D52" i="48"/>
  <c r="H33" i="61"/>
  <c r="E8" i="62"/>
  <c r="N57" i="45"/>
  <c r="M26" i="59"/>
  <c r="G50" i="83"/>
  <c r="M22" i="71"/>
  <c r="J12" i="79"/>
  <c r="E42" i="81"/>
  <c r="F21" i="79"/>
  <c r="K94" i="82"/>
  <c r="M38" i="49"/>
  <c r="D33" i="63"/>
  <c r="K103" i="55"/>
  <c r="E9" i="87"/>
  <c r="L95"/>
  <c r="O28" i="78"/>
  <c r="M100" i="74"/>
  <c r="M41" i="80"/>
  <c r="G17" i="43"/>
  <c r="K6"/>
  <c r="I19" i="78"/>
  <c r="J85" i="48"/>
  <c r="E56"/>
  <c r="K61" i="58"/>
  <c r="M89" i="54"/>
  <c r="K76" i="87"/>
  <c r="F56" i="51"/>
  <c r="G6" i="80"/>
  <c r="N58" i="87"/>
  <c r="J30" i="82"/>
  <c r="D74" i="86"/>
  <c r="D21" i="69"/>
  <c r="H30" i="90"/>
  <c r="F104" i="40"/>
  <c r="G82" i="76"/>
  <c r="M64" i="49"/>
  <c r="H76" i="43"/>
  <c r="F6" i="84"/>
  <c r="K24" i="19"/>
  <c r="G73" i="36"/>
  <c r="L85" i="81"/>
  <c r="I58" i="56"/>
  <c r="I52" i="82"/>
  <c r="E107" i="56"/>
  <c r="J89" i="45"/>
  <c r="D34" i="63"/>
  <c r="O28" i="91"/>
  <c r="F19" i="61"/>
  <c r="L49" i="55"/>
  <c r="G35" i="39"/>
  <c r="D8" i="63"/>
  <c r="K40" i="25"/>
  <c r="O13" i="60"/>
  <c r="E58" i="74"/>
  <c r="K12" i="55"/>
  <c r="G83" i="54"/>
  <c r="G71" i="94"/>
  <c r="D83" i="64"/>
  <c r="I46" i="51"/>
  <c r="L17" i="30"/>
  <c r="K100" i="94"/>
  <c r="E70" i="75"/>
  <c r="G7" i="34"/>
  <c r="H73" i="48"/>
  <c r="J35" i="66"/>
  <c r="L41" i="54"/>
  <c r="F4" i="30"/>
  <c r="L40" i="77"/>
  <c r="L53" i="66"/>
  <c r="F106" i="68"/>
  <c r="I33" i="33"/>
  <c r="L76" i="89"/>
  <c r="K51" i="64"/>
  <c r="L65" i="25"/>
  <c r="H8" i="32"/>
  <c r="D88" i="53"/>
  <c r="H77" i="43"/>
  <c r="F15" i="38"/>
  <c r="J86" i="61"/>
  <c r="O101" i="48"/>
  <c r="M89" i="60"/>
  <c r="G86" i="50"/>
  <c r="G28" i="65"/>
  <c r="F27" i="54"/>
  <c r="M43" i="25"/>
  <c r="N19" i="27"/>
  <c r="G13" i="69"/>
  <c r="E106" i="93"/>
  <c r="K20" i="64"/>
  <c r="F42" i="45"/>
  <c r="I85" i="87"/>
  <c r="M74" i="74"/>
  <c r="O55" i="25"/>
  <c r="I15" i="51"/>
  <c r="K56" i="65"/>
  <c r="J98" i="86"/>
  <c r="E45" i="66"/>
  <c r="D7"/>
  <c r="E77" i="75"/>
  <c r="CK59" i="3"/>
  <c r="D14" i="66"/>
  <c r="N47" i="32"/>
  <c r="J41" i="25"/>
  <c r="O64" i="90"/>
  <c r="D21" i="89"/>
  <c r="G23" i="26"/>
  <c r="F95" i="77"/>
  <c r="D31" i="73"/>
  <c r="O51" i="44"/>
  <c r="O34" i="47"/>
  <c r="G7" i="94"/>
  <c r="I91" i="79"/>
  <c r="K14" i="93"/>
  <c r="K58" i="44"/>
  <c r="I80" i="73"/>
  <c r="E48" i="83"/>
  <c r="N5" i="35"/>
  <c r="H30" i="29"/>
  <c r="N45" i="34"/>
  <c r="N70" i="86"/>
  <c r="G62" i="72"/>
  <c r="D25" i="64"/>
  <c r="F82" i="62"/>
  <c r="L91" i="32"/>
  <c r="N44" i="26"/>
  <c r="L86" i="56"/>
  <c r="M13" i="77"/>
  <c r="G51" i="55"/>
  <c r="I23" i="87"/>
  <c r="L45" i="64"/>
  <c r="N77" i="32"/>
  <c r="L17" i="82"/>
  <c r="CC70" i="3"/>
  <c r="K59" i="81"/>
  <c r="H97" i="59"/>
  <c r="K22" i="55"/>
  <c r="M88" i="43"/>
  <c r="H106" i="33"/>
  <c r="G76" i="47"/>
  <c r="F32" i="85"/>
  <c r="H51" i="53"/>
  <c r="G51" i="86"/>
  <c r="L80" i="19"/>
  <c r="E11" i="73"/>
  <c r="E91" i="71"/>
  <c r="M80" i="57"/>
  <c r="O14" i="61"/>
  <c r="N44" i="76"/>
  <c r="M29" i="80"/>
  <c r="M83" i="74"/>
  <c r="E36" i="54"/>
  <c r="F46" i="64"/>
  <c r="M79" i="44"/>
  <c r="D79" i="62"/>
  <c r="I21" i="40"/>
  <c r="E12"/>
  <c r="N30" i="72"/>
  <c r="M15" i="59"/>
  <c r="I107" i="87"/>
  <c r="H83" i="82"/>
  <c r="E95" i="38"/>
  <c r="D50" i="82"/>
  <c r="E12" i="34"/>
  <c r="E10" i="62"/>
  <c r="M48" i="89"/>
  <c r="O8" i="78"/>
  <c r="M32" i="40"/>
  <c r="N89" i="48"/>
  <c r="N65" i="75"/>
  <c r="L85" i="64"/>
  <c r="N47" i="56"/>
  <c r="K70" i="67"/>
  <c r="D12" i="32"/>
  <c r="G85" i="48"/>
  <c r="H9" i="38"/>
  <c r="K92" i="92"/>
  <c r="E98" i="61"/>
  <c r="O82" i="71"/>
  <c r="L13" i="40"/>
  <c r="L32" i="93"/>
  <c r="K10" i="75"/>
  <c r="J47" i="87"/>
  <c r="O25" i="65"/>
  <c r="E86" i="79"/>
  <c r="M21" i="92"/>
  <c r="K17" i="75"/>
  <c r="G104" i="43"/>
  <c r="J61" i="35"/>
  <c r="E6" i="66"/>
  <c r="L104" i="63"/>
  <c r="L11" i="60"/>
  <c r="F77" i="84"/>
  <c r="H77" i="67"/>
  <c r="F82"/>
  <c r="N53" i="25"/>
  <c r="E42" i="63"/>
  <c r="L12" i="22"/>
  <c r="K23" i="54"/>
  <c r="K37" i="49"/>
  <c r="D32" i="83"/>
  <c r="H6" i="66"/>
  <c r="J50" i="55"/>
  <c r="H54" i="25"/>
  <c r="M29" i="82"/>
  <c r="N35" i="51"/>
  <c r="O14" i="34"/>
  <c r="N65" i="41"/>
  <c r="F45" i="77"/>
  <c r="O95" i="68"/>
  <c r="I97" i="94"/>
  <c r="E37" i="70"/>
  <c r="G16" i="68"/>
  <c r="O45" i="69"/>
  <c r="J73" i="77"/>
  <c r="E8" i="83"/>
  <c r="N31" i="59"/>
  <c r="N6" i="81"/>
  <c r="J47" i="86"/>
  <c r="N98" i="82"/>
  <c r="L74" i="51"/>
  <c r="L10" i="32"/>
  <c r="O57" i="84"/>
  <c r="L80" i="64"/>
  <c r="J9" i="40"/>
  <c r="F52" i="87"/>
  <c r="H23" i="44"/>
  <c r="N77"/>
  <c r="H98" i="48"/>
  <c r="O107" i="82"/>
  <c r="O20" i="73"/>
  <c r="H34" i="42"/>
  <c r="D68" i="48"/>
  <c r="D21" i="39"/>
  <c r="M8" i="61"/>
  <c r="M18" i="68"/>
  <c r="H7" i="53"/>
  <c r="D40" i="73"/>
  <c r="L70" i="27"/>
  <c r="F62" i="66"/>
  <c r="F33" i="35"/>
  <c r="M56" i="67"/>
  <c r="D32" i="34"/>
  <c r="I48"/>
  <c r="I48" i="73"/>
  <c r="E33" i="27"/>
  <c r="I41" i="83"/>
  <c r="N32" i="40"/>
  <c r="G64" i="57"/>
  <c r="E98" i="90"/>
  <c r="D22" i="89"/>
  <c r="M70" i="80"/>
  <c r="G52" i="78"/>
  <c r="M22" i="53"/>
  <c r="K50" i="89"/>
  <c r="D83" i="76"/>
  <c r="F64" i="56"/>
  <c r="F62" i="43"/>
  <c r="K106" i="86"/>
  <c r="L44" i="26"/>
  <c r="M5" i="33"/>
  <c r="N92" i="86"/>
  <c r="O29" i="83"/>
  <c r="L6" i="30"/>
  <c r="L71" i="35"/>
  <c r="D33" i="50"/>
  <c r="D47" i="78"/>
  <c r="M107" i="45"/>
  <c r="K10" i="68"/>
  <c r="K7" i="45"/>
  <c r="H29" i="32"/>
  <c r="N59" i="81"/>
  <c r="N44" i="45"/>
  <c r="N29" i="58"/>
  <c r="E86" i="35"/>
  <c r="E101" i="81"/>
  <c r="F73" i="71"/>
  <c r="H28" i="19"/>
  <c r="K43" i="68"/>
  <c r="L17" i="43"/>
  <c r="F48" i="94"/>
  <c r="K39" i="76"/>
  <c r="M83" i="93"/>
  <c r="O64" i="89"/>
  <c r="H83" i="57"/>
  <c r="E80" i="93"/>
  <c r="H97" i="58"/>
  <c r="N31" i="74"/>
  <c r="G21" i="19"/>
  <c r="K20" i="69"/>
  <c r="N50" i="93"/>
  <c r="H29" i="61"/>
  <c r="H23" i="75"/>
  <c r="H52" i="84"/>
  <c r="H80" i="32"/>
  <c r="K25" i="61"/>
  <c r="F43" i="29"/>
  <c r="M97" i="81"/>
  <c r="O57" i="92"/>
  <c r="F73" i="33"/>
  <c r="G12" i="69"/>
  <c r="F47" i="74"/>
  <c r="L50" i="68"/>
  <c r="M67" i="49"/>
  <c r="H33" i="89"/>
  <c r="M97" i="70"/>
  <c r="L8" i="64"/>
  <c r="N34" i="36"/>
  <c r="I56" i="26"/>
  <c r="I56" i="57"/>
  <c r="D49" i="71"/>
  <c r="L71" i="61"/>
  <c r="H80" i="80"/>
  <c r="I34" i="38"/>
  <c r="K11" i="62"/>
  <c r="F73" i="69"/>
  <c r="I71" i="48"/>
  <c r="F58" i="68"/>
  <c r="L82" i="82"/>
  <c r="N40" i="43"/>
  <c r="M22" i="61"/>
  <c r="F4" i="53"/>
  <c r="D57" i="54"/>
  <c r="L35" i="27"/>
  <c r="G55" i="92"/>
  <c r="F38" i="71"/>
  <c r="D98" i="29"/>
  <c r="N4" i="30"/>
  <c r="M73" i="51"/>
  <c r="D44" i="80"/>
  <c r="F26" i="40"/>
  <c r="F89" i="73"/>
  <c r="N43" i="43"/>
  <c r="O57" i="70"/>
  <c r="K57" i="45"/>
  <c r="G44" i="91"/>
  <c r="G86" i="69"/>
  <c r="D104" i="93"/>
  <c r="G6" i="30"/>
  <c r="L28" i="61"/>
  <c r="J20"/>
  <c r="I38" i="73"/>
  <c r="L95" i="76"/>
  <c r="D59" i="93"/>
  <c r="F25" i="61"/>
  <c r="E101" i="71"/>
  <c r="I7" i="58"/>
  <c r="I46" i="68"/>
  <c r="O29" i="56"/>
  <c r="D50" i="78"/>
  <c r="O53"/>
  <c r="F39" i="48"/>
  <c r="H26" i="49"/>
  <c r="M91" i="45"/>
  <c r="E14" i="38"/>
  <c r="J107" i="79"/>
  <c r="H53" i="85"/>
  <c r="N56" i="55"/>
  <c r="D22" i="67"/>
  <c r="M28" i="49"/>
  <c r="I41" i="57"/>
  <c r="I103" i="69"/>
  <c r="G49" i="29"/>
  <c r="N49" i="71"/>
  <c r="N37" i="35"/>
  <c r="G100" i="75"/>
  <c r="H31" i="40"/>
  <c r="J36" i="62"/>
  <c r="N82" i="53"/>
  <c r="M68" i="40"/>
  <c r="K21" i="54"/>
  <c r="F25" i="67"/>
  <c r="G20" i="38"/>
  <c r="F45" i="82"/>
  <c r="D101" i="47"/>
  <c r="N11" i="78"/>
  <c r="K86" i="46"/>
  <c r="L59" i="49"/>
  <c r="K27" i="69"/>
  <c r="L26" i="74"/>
  <c r="F9" i="30"/>
  <c r="K34" i="94"/>
  <c r="L23" i="41"/>
  <c r="K104" i="53"/>
  <c r="O71" i="63"/>
  <c r="H46" i="79"/>
  <c r="H21" i="70"/>
  <c r="M49" i="29"/>
  <c r="N31" i="92"/>
  <c r="L42" i="81"/>
  <c r="G74" i="64"/>
  <c r="M88" i="56"/>
  <c r="J36" i="46"/>
  <c r="F24" i="33"/>
  <c r="M77" i="26"/>
  <c r="H76" i="63"/>
  <c r="H26" i="76"/>
  <c r="L57" i="59"/>
  <c r="N85" i="83"/>
  <c r="M6" i="45"/>
  <c r="E19" i="52"/>
  <c r="E86" i="56"/>
  <c r="F57" i="35"/>
  <c r="I7" i="32"/>
  <c r="K41" i="41"/>
  <c r="K92" i="48"/>
  <c r="J42" i="27"/>
  <c r="K95" i="71"/>
  <c r="J64" i="67"/>
  <c r="L73" i="74"/>
  <c r="D79" i="38"/>
  <c r="O17" i="59"/>
  <c r="E62" i="90"/>
  <c r="K44" i="26"/>
  <c r="K101" i="25"/>
  <c r="K16" i="57"/>
  <c r="O85" i="81"/>
  <c r="N36" i="34"/>
  <c r="M30" i="29"/>
  <c r="M58" i="35"/>
  <c r="I100" i="52"/>
  <c r="M85" i="87"/>
  <c r="H64" i="44"/>
  <c r="F20" i="65"/>
  <c r="K104" i="64"/>
  <c r="G22" i="63"/>
  <c r="M70" i="68"/>
  <c r="G14" i="44"/>
  <c r="E52" i="33"/>
  <c r="J92" i="71"/>
  <c r="J24" i="76"/>
  <c r="G88" i="89"/>
  <c r="K4" i="67"/>
  <c r="K98" i="87"/>
  <c r="E10" i="72"/>
  <c r="CH73" i="3"/>
  <c r="K44" i="38"/>
  <c r="J5" i="66"/>
  <c r="L59" i="41"/>
  <c r="I77" i="78"/>
  <c r="M37" i="63"/>
  <c r="D33" i="69"/>
  <c r="N11" i="65"/>
  <c r="K54" i="30"/>
  <c r="L46" i="55"/>
  <c r="O89" i="86"/>
  <c r="K26" i="60"/>
  <c r="D36" i="29"/>
  <c r="G52" i="56"/>
  <c r="G18" i="50"/>
  <c r="G16" i="60"/>
  <c r="J91" i="70"/>
  <c r="J70" i="92"/>
  <c r="H20" i="59"/>
  <c r="I23" i="61"/>
  <c r="I42" i="19"/>
  <c r="J48" i="48"/>
  <c r="H48" i="33"/>
  <c r="I12" i="74"/>
  <c r="I52" i="92"/>
  <c r="H31" i="91"/>
  <c r="L103" i="40"/>
  <c r="F37"/>
  <c r="G89" i="87"/>
  <c r="L70" i="53"/>
  <c r="H47" i="47"/>
  <c r="F11" i="35"/>
  <c r="E22" i="81"/>
  <c r="N80" i="80"/>
  <c r="H64" i="93"/>
  <c r="I106" i="38"/>
  <c r="F6" i="64"/>
  <c r="D44" i="50"/>
  <c r="L25" i="90"/>
  <c r="E50" i="63"/>
  <c r="H29" i="30"/>
  <c r="N24" i="63"/>
  <c r="J57" i="59"/>
  <c r="H82" i="79"/>
  <c r="N56" i="89"/>
  <c r="N91" i="53"/>
  <c r="G26" i="70"/>
  <c r="F48" i="61"/>
  <c r="J64" i="69"/>
  <c r="I67" i="35"/>
  <c r="CG51" i="3"/>
  <c r="O58" i="44"/>
  <c r="N91" i="81"/>
  <c r="K45" i="45"/>
  <c r="O67" i="62"/>
  <c r="K103" i="64"/>
  <c r="N103" i="67"/>
  <c r="E88" i="53"/>
  <c r="D100" i="38"/>
  <c r="J104" i="46"/>
  <c r="G91" i="71"/>
  <c r="K51" i="80"/>
  <c r="D36" i="94"/>
  <c r="K40" i="57"/>
  <c r="E36" i="74"/>
  <c r="I28" i="87"/>
  <c r="N18" i="33"/>
  <c r="K94" i="68"/>
  <c r="L43" i="51"/>
  <c r="L19" i="34"/>
  <c r="J76" i="29"/>
  <c r="M25" i="40"/>
  <c r="J15" i="71"/>
  <c r="E45" i="83"/>
  <c r="H24" i="78"/>
  <c r="G101" i="53"/>
  <c r="E79" i="56"/>
  <c r="N80" i="33"/>
  <c r="H19" i="30"/>
  <c r="G107" i="94"/>
  <c r="D19" i="72"/>
  <c r="F59" i="47"/>
  <c r="K15" i="83"/>
  <c r="H56" i="68"/>
  <c r="M17" i="46"/>
  <c r="K83" i="83"/>
  <c r="M83" i="32"/>
  <c r="D77" i="48"/>
  <c r="D61" i="86"/>
  <c r="F8" i="80"/>
  <c r="I85" i="33"/>
  <c r="E13" i="79"/>
  <c r="M31" i="44"/>
  <c r="E54" i="33"/>
  <c r="N15" i="65"/>
  <c r="L41" i="30"/>
  <c r="L49" i="33"/>
  <c r="D106" i="45"/>
  <c r="I12" i="69"/>
  <c r="G57" i="41"/>
  <c r="O26" i="59"/>
  <c r="F14" i="50"/>
  <c r="O97" i="25"/>
  <c r="I33" i="66"/>
  <c r="D107" i="78"/>
  <c r="N46" i="44"/>
  <c r="H30" i="55"/>
  <c r="F7" i="53"/>
  <c r="O85" i="72"/>
  <c r="O80" i="26"/>
  <c r="D79" i="43"/>
  <c r="O68" i="62"/>
  <c r="M23" i="59"/>
  <c r="M107" i="38"/>
  <c r="M32" i="59"/>
  <c r="E59" i="91"/>
  <c r="H25" i="68"/>
  <c r="F40" i="45"/>
  <c r="G54" i="94"/>
  <c r="N43" i="68"/>
  <c r="D95" i="45"/>
  <c r="M11" i="58"/>
  <c r="F79" i="60"/>
  <c r="I61" i="64"/>
  <c r="M82" i="72"/>
  <c r="G89" i="40"/>
  <c r="G34" i="57"/>
  <c r="L37" i="68"/>
  <c r="I32" i="40"/>
  <c r="F107" i="35"/>
  <c r="M45" i="47"/>
  <c r="H67" i="46"/>
  <c r="E31" i="68"/>
  <c r="J29" i="70"/>
  <c r="O10" i="45"/>
  <c r="O106" i="48"/>
  <c r="I67" i="50"/>
  <c r="H70" i="26"/>
  <c r="N76" i="60"/>
  <c r="I103" i="29"/>
  <c r="D88" i="84"/>
  <c r="H50" i="90"/>
  <c r="J28" i="80"/>
  <c r="K54" i="73"/>
  <c r="M57" i="35"/>
  <c r="O25" i="26"/>
  <c r="E51" i="39"/>
  <c r="K34" i="91"/>
  <c r="D10" i="58"/>
  <c r="O100" i="61"/>
  <c r="L12" i="49"/>
  <c r="H19" i="92"/>
  <c r="I51" i="49"/>
  <c r="F36" i="55"/>
  <c r="H107" i="60"/>
  <c r="O37" i="77"/>
  <c r="F94" i="54"/>
  <c r="J40"/>
  <c r="I52" i="70"/>
  <c r="D45" i="77"/>
  <c r="N46" i="40"/>
  <c r="G68" i="50"/>
  <c r="F26" i="63"/>
  <c r="H6" i="70"/>
  <c r="H42" i="58"/>
  <c r="E21" i="84"/>
  <c r="O6" i="56"/>
  <c r="H107" i="80"/>
  <c r="L57" i="40"/>
  <c r="O33" i="94"/>
  <c r="H13" i="39"/>
  <c r="E91" i="76"/>
  <c r="F7" i="34"/>
  <c r="L13" i="87"/>
  <c r="O10" i="57"/>
  <c r="J51" i="35"/>
  <c r="L23" i="22"/>
  <c r="G15" i="52"/>
  <c r="D52" i="55"/>
  <c r="M33" i="57"/>
  <c r="H74" i="86"/>
  <c r="E86" i="42"/>
  <c r="L94" i="67"/>
  <c r="E34" i="44"/>
  <c r="D41" i="27"/>
  <c r="G10" i="42"/>
  <c r="L100" i="33"/>
  <c r="E14" i="50"/>
  <c r="N65" i="73"/>
  <c r="N13" i="94"/>
  <c r="K28" i="65"/>
  <c r="G6" i="76"/>
  <c r="L36"/>
  <c r="N77" i="26"/>
  <c r="M85" i="80"/>
  <c r="H64" i="50"/>
  <c r="M45" i="19"/>
  <c r="N59" i="83"/>
  <c r="G43" i="77"/>
  <c r="F48" i="26"/>
  <c r="G17" i="85"/>
  <c r="K22" i="41"/>
  <c r="L80" i="38"/>
  <c r="F40" i="49"/>
  <c r="O18" i="94"/>
  <c r="O65" i="33"/>
  <c r="G74" i="52"/>
  <c r="E85" i="54"/>
  <c r="O38" i="90"/>
  <c r="K42" i="87"/>
  <c r="K24" i="59"/>
  <c r="G50" i="38"/>
  <c r="M46" i="36"/>
  <c r="K55" i="41"/>
  <c r="G71" i="61"/>
  <c r="H101" i="53"/>
  <c r="G74" i="46"/>
  <c r="I23" i="94"/>
  <c r="H29" i="87"/>
  <c r="J48" i="35"/>
  <c r="O9" i="75"/>
  <c r="O48" i="47"/>
  <c r="M50"/>
  <c r="I83" i="26"/>
  <c r="E42" i="54"/>
  <c r="H76" i="85"/>
  <c r="O15" i="38"/>
  <c r="M65" i="36"/>
  <c r="F70" i="65"/>
  <c r="O47" i="30"/>
  <c r="N27" i="36"/>
  <c r="G88" i="69"/>
  <c r="L79" i="80"/>
  <c r="E27" i="35"/>
  <c r="E26" i="81"/>
  <c r="M85" i="66"/>
  <c r="O100" i="53"/>
  <c r="G40" i="43"/>
  <c r="L22" i="94"/>
  <c r="L4" i="70"/>
  <c r="O43" i="51"/>
  <c r="G22" i="58"/>
  <c r="O107" i="40"/>
  <c r="I106" i="82"/>
  <c r="M13" i="94"/>
  <c r="E26" i="68"/>
  <c r="H44" i="25"/>
  <c r="H24" i="91"/>
  <c r="E79" i="61"/>
  <c r="F56" i="60"/>
  <c r="L13" i="94"/>
  <c r="M58" i="49"/>
  <c r="L10" i="61"/>
  <c r="E94" i="72"/>
  <c r="O41" i="62"/>
  <c r="AA25" i="96"/>
  <c r="E25" i="87"/>
  <c r="K50" i="44"/>
  <c r="I43" i="74"/>
  <c r="J97" i="35"/>
  <c r="O24" i="63"/>
  <c r="I19" i="41"/>
  <c r="M54" i="84"/>
  <c r="E107" i="41"/>
  <c r="J32" i="63"/>
  <c r="M18" i="53"/>
  <c r="O24" i="19"/>
  <c r="D9" i="64"/>
  <c r="O15" i="58"/>
  <c r="L89" i="75"/>
  <c r="G62" i="84"/>
  <c r="O61" i="62"/>
  <c r="L21" i="89"/>
  <c r="E12" i="46"/>
  <c r="D50" i="91"/>
  <c r="G11" i="39"/>
  <c r="J94" i="62"/>
  <c r="I21" i="89"/>
  <c r="K7" i="39"/>
  <c r="I79" i="57"/>
  <c r="I98" i="46"/>
  <c r="E18" i="40"/>
  <c r="K92" i="38"/>
  <c r="N92" i="36"/>
  <c r="F107" i="41"/>
  <c r="N33" i="54"/>
  <c r="F54" i="81"/>
  <c r="D61" i="78"/>
  <c r="CD30" i="3"/>
  <c r="L18" i="43"/>
  <c r="H13" i="94"/>
  <c r="L8" i="66"/>
  <c r="G82" i="94"/>
  <c r="J79" i="70"/>
  <c r="M41" i="64"/>
  <c r="M32" i="45"/>
  <c r="M21" i="30"/>
  <c r="I73" i="25"/>
  <c r="I40" i="72"/>
  <c r="J7" i="19"/>
  <c r="N37" i="75"/>
  <c r="G103" i="36"/>
  <c r="L42" i="84"/>
  <c r="F41" i="44"/>
  <c r="E59" i="52"/>
  <c r="G15" i="54"/>
  <c r="O45" i="53"/>
  <c r="O26" i="49"/>
  <c r="J24" i="94"/>
  <c r="K10" i="65"/>
  <c r="H80" i="38"/>
  <c r="N13" i="67"/>
  <c r="M70" i="65"/>
  <c r="K36" i="32"/>
  <c r="N26" i="81"/>
  <c r="E47" i="80"/>
  <c r="N70" i="46"/>
  <c r="J39" i="78"/>
  <c r="O68" i="47"/>
  <c r="K45" i="74"/>
  <c r="M58" i="69"/>
  <c r="H50" i="52"/>
  <c r="I100" i="47"/>
  <c r="L85" i="41"/>
  <c r="F13" i="54"/>
  <c r="I12" i="84"/>
  <c r="E32" i="41"/>
  <c r="D67" i="56"/>
  <c r="N5" i="76"/>
  <c r="K31" i="26"/>
  <c r="D89" i="49"/>
  <c r="F47" i="30"/>
  <c r="N14" i="49"/>
  <c r="F15" i="52"/>
  <c r="M39" i="69"/>
  <c r="I79" i="70"/>
  <c r="D85" i="29"/>
  <c r="N88" i="63"/>
  <c r="E9" i="65"/>
  <c r="L64" i="32"/>
  <c r="F23" i="76"/>
  <c r="I97" i="86"/>
  <c r="M36" i="27"/>
  <c r="M41" i="90"/>
  <c r="N20" i="67"/>
  <c r="F85" i="81"/>
  <c r="H20" i="44"/>
  <c r="J22" i="84"/>
  <c r="F61" i="83"/>
  <c r="G37" i="53"/>
  <c r="I80" i="94"/>
  <c r="K56" i="75"/>
  <c r="E106" i="90"/>
  <c r="F9" i="86"/>
  <c r="L26" i="45"/>
  <c r="F48" i="78"/>
  <c r="F74" i="38"/>
  <c r="O104" i="92"/>
  <c r="D98" i="78"/>
  <c r="K62" i="34"/>
  <c r="M53" i="26"/>
  <c r="D92" i="80"/>
  <c r="H37" i="47"/>
  <c r="D6" i="91"/>
  <c r="L41" i="73"/>
  <c r="J65" i="83"/>
  <c r="N94" i="81"/>
  <c r="K18" i="32"/>
  <c r="K33" i="75"/>
  <c r="I64" i="39"/>
  <c r="O19" i="91"/>
  <c r="J35" i="43"/>
  <c r="J6" i="83"/>
  <c r="O53" i="93"/>
  <c r="N68" i="58"/>
  <c r="O82" i="66"/>
  <c r="L48" i="78"/>
  <c r="J107" i="41"/>
  <c r="M100" i="33"/>
  <c r="L82" i="70"/>
  <c r="K27" i="40"/>
  <c r="G31" i="83"/>
  <c r="G107" i="46"/>
  <c r="J70" i="30"/>
  <c r="F85" i="19"/>
  <c r="K22" i="25"/>
  <c r="E11" i="29"/>
  <c r="L18" i="82"/>
  <c r="H48" i="64"/>
  <c r="I28" i="83"/>
  <c r="K15" i="34"/>
  <c r="H26" i="32"/>
  <c r="K14" i="48"/>
  <c r="E97" i="43"/>
  <c r="E104" i="29"/>
  <c r="I11" i="69"/>
  <c r="E88" i="50"/>
  <c r="E40" i="75"/>
  <c r="F58" i="25"/>
  <c r="J97" i="54"/>
  <c r="K95" i="26"/>
  <c r="N45" i="60"/>
  <c r="K74" i="30"/>
  <c r="I15" i="73"/>
  <c r="H74" i="62"/>
  <c r="E19" i="69"/>
  <c r="H7" i="67"/>
  <c r="F8" i="77"/>
  <c r="E101" i="51"/>
  <c r="H89" i="89"/>
  <c r="I53" i="72"/>
  <c r="L101" i="94"/>
  <c r="O20" i="39"/>
  <c r="H4" i="73"/>
  <c r="D43" i="71"/>
  <c r="I44" i="82"/>
  <c r="E41" i="59"/>
  <c r="H35" i="30"/>
  <c r="L20" i="78"/>
  <c r="F42"/>
  <c r="E39" i="49"/>
  <c r="K5" i="34"/>
  <c r="L11" i="83"/>
  <c r="N59" i="46"/>
  <c r="E74"/>
  <c r="I101" i="73"/>
  <c r="N35" i="76"/>
  <c r="J68" i="55"/>
  <c r="N51" i="90"/>
  <c r="F24" i="56"/>
  <c r="N6" i="44"/>
  <c r="H68" i="35"/>
  <c r="G79" i="75"/>
  <c r="O104" i="67"/>
  <c r="D42" i="53"/>
  <c r="O30" i="39"/>
  <c r="H8" i="75"/>
  <c r="D59" i="64"/>
  <c r="N35" i="38"/>
  <c r="E12" i="93"/>
  <c r="G40" i="26"/>
  <c r="G54" i="69"/>
  <c r="H46" i="73"/>
  <c r="J56" i="70"/>
  <c r="O54" i="27"/>
  <c r="K8" i="56"/>
  <c r="J56" i="79"/>
  <c r="N30" i="26"/>
  <c r="M41" i="25"/>
  <c r="L9" i="67"/>
  <c r="G39" i="62"/>
  <c r="L74" i="30"/>
  <c r="I53" i="48"/>
  <c r="J48" i="51"/>
  <c r="I92" i="44"/>
  <c r="H20" i="69"/>
  <c r="F8" i="45"/>
  <c r="K52" i="81"/>
  <c r="N71" i="78"/>
  <c r="E42" i="90"/>
  <c r="N80" i="64"/>
  <c r="H103" i="90"/>
  <c r="G41" i="34"/>
  <c r="E71" i="44"/>
  <c r="F20" i="55"/>
  <c r="H88" i="89"/>
  <c r="K11" i="54"/>
  <c r="C33" i="96"/>
  <c r="M58" i="67"/>
  <c r="D38" i="55"/>
  <c r="M32" i="86"/>
  <c r="J48" i="58"/>
  <c r="H19" i="71"/>
  <c r="G39" i="67"/>
  <c r="G77" i="70"/>
  <c r="M65" i="93"/>
  <c r="D55" i="92"/>
  <c r="F4" i="55"/>
  <c r="O107" i="69"/>
  <c r="E57" i="46"/>
  <c r="F18" i="81"/>
  <c r="O40" i="76"/>
  <c r="G91" i="36"/>
  <c r="G36" i="55"/>
  <c r="K33"/>
  <c r="D12" i="33"/>
  <c r="G21" i="35"/>
  <c r="F76" i="49"/>
  <c r="N26" i="34"/>
  <c r="O73" i="87"/>
  <c r="J43" i="76"/>
  <c r="D45" i="71"/>
  <c r="E16" i="46"/>
  <c r="M26" i="40"/>
  <c r="O55" i="41"/>
  <c r="M33" i="36"/>
  <c r="F16" i="52"/>
  <c r="E58" i="79"/>
  <c r="H73" i="58"/>
  <c r="D16" i="41"/>
  <c r="M48" i="26"/>
  <c r="I7" i="35"/>
  <c r="F7" i="65"/>
  <c r="J7" i="55"/>
  <c r="E85" i="48"/>
  <c r="K20" i="41"/>
  <c r="H73" i="89"/>
  <c r="F89" i="54"/>
  <c r="J14" i="35"/>
  <c r="E12" i="78"/>
  <c r="F50" i="44"/>
  <c r="G42" i="72"/>
  <c r="M11" i="29"/>
  <c r="J31" i="53"/>
  <c r="N101" i="62"/>
  <c r="E15" i="33"/>
  <c r="E14" i="90"/>
  <c r="E39" i="29"/>
  <c r="J57" i="41"/>
  <c r="L36" i="94"/>
  <c r="F85" i="56"/>
  <c r="J92" i="62"/>
  <c r="E25" i="30"/>
  <c r="K28" i="49"/>
  <c r="G30" i="70"/>
  <c r="D45" i="33"/>
  <c r="I15" i="75"/>
  <c r="E58" i="26"/>
  <c r="J98" i="89"/>
  <c r="F71" i="85"/>
  <c r="E97" i="41"/>
  <c r="L47" i="84"/>
  <c r="H23" i="54"/>
  <c r="H39" i="38"/>
  <c r="O29" i="81"/>
  <c r="O19" i="82"/>
  <c r="F36" i="40"/>
  <c r="L31" i="54"/>
  <c r="M32" i="43"/>
  <c r="E82" i="45"/>
  <c r="O46" i="59"/>
  <c r="K70" i="40"/>
  <c r="D30" i="85"/>
  <c r="G51" i="73"/>
  <c r="K32" i="78"/>
  <c r="H21" i="81"/>
  <c r="L24" i="32"/>
  <c r="G45" i="69"/>
  <c r="M30" i="63"/>
  <c r="K67" i="91"/>
  <c r="O79" i="60"/>
  <c r="E92" i="44"/>
  <c r="I65" i="91"/>
  <c r="O44" i="25"/>
  <c r="I79" i="83"/>
  <c r="M13" i="26"/>
  <c r="E7" i="74"/>
  <c r="G16" i="42"/>
  <c r="J24" i="29"/>
  <c r="E77" i="74"/>
  <c r="G24" i="35"/>
  <c r="D15" i="64"/>
  <c r="G12" i="86"/>
  <c r="G19" i="39"/>
  <c r="J100" i="57"/>
  <c r="K103" i="44"/>
  <c r="D76" i="70"/>
  <c r="N83" i="33"/>
  <c r="G54" i="39"/>
  <c r="K7" i="89"/>
  <c r="N61" i="90"/>
  <c r="J38" i="38"/>
  <c r="D89" i="71"/>
  <c r="L25" i="41"/>
  <c r="H14" i="45"/>
  <c r="M57" i="44"/>
  <c r="K49" i="81"/>
  <c r="G54" i="86"/>
  <c r="N92" i="46"/>
  <c r="L25" i="72"/>
  <c r="J37" i="19"/>
  <c r="J35" i="69"/>
  <c r="I44" i="71"/>
  <c r="K64" i="90"/>
  <c r="F77" i="83"/>
  <c r="G76" i="36"/>
  <c r="N44" i="61"/>
  <c r="K8" i="46"/>
  <c r="K62" i="86"/>
  <c r="L80" i="53"/>
  <c r="L42" i="78"/>
  <c r="J101" i="32"/>
  <c r="K12" i="83"/>
  <c r="D74" i="81"/>
  <c r="O21" i="82"/>
  <c r="N82" i="44"/>
  <c r="O58" i="84"/>
  <c r="J79" i="68"/>
  <c r="J5" i="77"/>
  <c r="E40" i="41"/>
  <c r="J91" i="54"/>
  <c r="J38" i="80"/>
  <c r="E6" i="63"/>
  <c r="K80" i="78"/>
  <c r="O85" i="82"/>
  <c r="G35" i="26"/>
  <c r="I47" i="93"/>
  <c r="CI27" i="3"/>
  <c r="H74" i="49"/>
  <c r="L24" i="75"/>
  <c r="E23" i="35"/>
  <c r="N53" i="76"/>
  <c r="M10" i="43"/>
  <c r="CJ32" i="3" s="1"/>
  <c r="E86" i="49"/>
  <c r="I5" i="43"/>
  <c r="K20" i="29"/>
  <c r="D8" i="49"/>
  <c r="O58" i="69"/>
  <c r="G40" i="27"/>
  <c r="E45" i="85"/>
  <c r="K71" i="19"/>
  <c r="K89" i="53"/>
  <c r="G5" i="54"/>
  <c r="M47" i="27"/>
  <c r="I10" i="85"/>
  <c r="L29" i="93"/>
  <c r="F104" i="66"/>
  <c r="F49" i="89"/>
  <c r="I20" i="29"/>
  <c r="F73" i="85"/>
  <c r="O91" i="81"/>
  <c r="N47" i="93"/>
  <c r="D83" i="84"/>
  <c r="N15" i="94"/>
  <c r="K22" i="30"/>
  <c r="I24" i="87"/>
  <c r="M98" i="56"/>
  <c r="I98" i="34"/>
  <c r="G26" i="93"/>
  <c r="K97" i="55"/>
  <c r="F67" i="75"/>
  <c r="O74" i="54"/>
  <c r="E45" i="27"/>
  <c r="D32" i="78"/>
  <c r="F23" i="85"/>
  <c r="N88" i="91"/>
  <c r="J52" i="41"/>
  <c r="E38" i="57"/>
  <c r="K89" i="87"/>
  <c r="F80" i="51"/>
  <c r="G53" i="32"/>
  <c r="M94" i="45"/>
  <c r="N58" i="75"/>
  <c r="G88" i="70"/>
  <c r="N65" i="61"/>
  <c r="I64" i="76"/>
  <c r="N44" i="91"/>
  <c r="G62" i="36"/>
  <c r="J45" i="33"/>
  <c r="E23" i="53"/>
  <c r="G6" i="74"/>
  <c r="F103" i="83"/>
  <c r="F62" i="26"/>
  <c r="N40" i="75"/>
  <c r="O54" i="70"/>
  <c r="G32" i="55"/>
  <c r="M98" i="73"/>
  <c r="E40" i="19"/>
  <c r="D25" i="83"/>
  <c r="G47" i="70"/>
  <c r="F62" i="48"/>
  <c r="J58" i="68"/>
  <c r="M7" i="77"/>
  <c r="K34" i="89"/>
  <c r="F39" i="44"/>
  <c r="I40" i="27"/>
  <c r="I50" i="42"/>
  <c r="F54" i="75"/>
  <c r="J4" i="40"/>
  <c r="E79" i="35"/>
  <c r="L44" i="77"/>
  <c r="I68" i="47"/>
  <c r="O55" i="74"/>
  <c r="J82" i="90"/>
  <c r="J65" i="79"/>
  <c r="J49" i="47"/>
  <c r="J106" i="70"/>
  <c r="J103" i="40"/>
  <c r="N27" i="90"/>
  <c r="M40" i="33"/>
  <c r="J45" i="74"/>
  <c r="O26" i="71"/>
  <c r="O68" i="89"/>
  <c r="O6" i="74"/>
  <c r="L36" i="34"/>
  <c r="H36" i="90"/>
  <c r="M61" i="54"/>
  <c r="J61" i="25"/>
  <c r="O56" i="26"/>
  <c r="J28" i="89"/>
  <c r="O97" i="41"/>
  <c r="L39" i="54"/>
  <c r="I64" i="36"/>
  <c r="K103" i="43"/>
  <c r="D80" i="84"/>
  <c r="G80"/>
  <c r="G57" i="61"/>
  <c r="L13" i="83"/>
  <c r="M79" i="87"/>
  <c r="L52" i="39"/>
  <c r="M36" i="49"/>
  <c r="D32" i="47"/>
  <c r="E36" i="34"/>
  <c r="O52" i="90"/>
  <c r="O97" i="89"/>
  <c r="G30" i="36"/>
  <c r="G104" i="27"/>
  <c r="D19" i="66"/>
  <c r="E17" i="85"/>
  <c r="E10" i="77"/>
  <c r="D12" i="69"/>
  <c r="G13" i="92"/>
  <c r="E25" i="36"/>
  <c r="H70" i="41"/>
  <c r="G29" i="35"/>
  <c r="M106" i="56"/>
  <c r="G85" i="59"/>
  <c r="M73" i="30"/>
  <c r="I53" i="61"/>
  <c r="O82" i="87"/>
  <c r="H58" i="71"/>
  <c r="J89" i="46"/>
  <c r="N14" i="68"/>
  <c r="E16" i="76"/>
  <c r="G12" i="78"/>
  <c r="K57" i="71"/>
  <c r="H57" i="76"/>
  <c r="E5" i="63"/>
  <c r="F104" i="91"/>
  <c r="G100" i="59"/>
  <c r="J45" i="63"/>
  <c r="N80" i="45"/>
  <c r="N9" i="82"/>
  <c r="K57" i="92"/>
  <c r="L62" i="33"/>
  <c r="I35" i="41"/>
  <c r="N43" i="35"/>
  <c r="F62" i="61"/>
  <c r="H53" i="86"/>
  <c r="M59" i="83"/>
  <c r="I76" i="79"/>
  <c r="D8" i="45"/>
  <c r="K29" i="34"/>
  <c r="D54" i="62"/>
  <c r="D16" i="34"/>
  <c r="O52" i="41"/>
  <c r="G107" i="27"/>
  <c r="F62" i="74"/>
  <c r="I68" i="45"/>
  <c r="I28" i="90"/>
  <c r="O8" i="48"/>
  <c r="H70" i="90"/>
  <c r="O45" i="45"/>
  <c r="O106" i="76"/>
  <c r="I97" i="92"/>
  <c r="E50" i="25"/>
  <c r="H54" i="89"/>
  <c r="E37" i="60"/>
  <c r="O70" i="30"/>
  <c r="L77" i="41"/>
  <c r="E17" i="68"/>
  <c r="I21" i="74"/>
  <c r="E38" i="61"/>
  <c r="I22" i="25"/>
  <c r="F16" i="59"/>
  <c r="I64"/>
  <c r="M43" i="65"/>
  <c r="N71"/>
  <c r="M92" i="41"/>
  <c r="N11" i="30"/>
  <c r="O37" i="70"/>
  <c r="J52" i="87"/>
  <c r="J82" i="43"/>
  <c r="O88" i="84"/>
  <c r="K34" i="78"/>
  <c r="J77" i="75"/>
  <c r="I70" i="54"/>
  <c r="H83" i="71"/>
  <c r="D46" i="60"/>
  <c r="O106" i="63"/>
  <c r="K85" i="73"/>
  <c r="O103" i="62"/>
  <c r="M15" i="27"/>
  <c r="L101" i="71"/>
  <c r="E25" i="41"/>
  <c r="G18" i="59"/>
  <c r="O58" i="38"/>
  <c r="K46" i="51"/>
  <c r="N86" i="46"/>
  <c r="N88" i="35"/>
  <c r="L76" i="86"/>
  <c r="L97" i="80"/>
  <c r="E6" i="46"/>
  <c r="E31" i="87"/>
  <c r="H44" i="67"/>
  <c r="G17" i="78"/>
  <c r="D71" i="62"/>
  <c r="O30" i="69"/>
  <c r="K91" i="67"/>
  <c r="O85" i="19"/>
  <c r="J76" i="57"/>
  <c r="F65" i="81"/>
  <c r="M4" i="89"/>
  <c r="F89" i="58"/>
  <c r="F58" i="45"/>
  <c r="F86" i="43"/>
  <c r="G59" i="39"/>
  <c r="H67" i="29"/>
  <c r="H59" i="60"/>
  <c r="J28" i="92"/>
  <c r="I5" i="90"/>
  <c r="M67" i="58"/>
  <c r="H68" i="75"/>
  <c r="N77" i="45"/>
  <c r="M39" i="46"/>
  <c r="M89" i="67"/>
  <c r="G42" i="69"/>
  <c r="O83" i="46"/>
  <c r="E23" i="19"/>
  <c r="D71" i="29"/>
  <c r="F82" i="66"/>
  <c r="K53" i="67"/>
  <c r="M15" i="46"/>
  <c r="F51" i="59"/>
  <c r="H101" i="44"/>
  <c r="F4" i="67"/>
  <c r="E82" i="44"/>
  <c r="L40" i="49"/>
  <c r="K50" i="81"/>
  <c r="O24" i="76"/>
  <c r="H73" i="36"/>
  <c r="H5" i="60"/>
  <c r="K57" i="56"/>
  <c r="F95" i="35"/>
  <c r="M67" i="41"/>
  <c r="F64" i="81"/>
  <c r="G8" i="91"/>
  <c r="N101" i="83"/>
  <c r="K5" i="69"/>
  <c r="N52" i="19"/>
  <c r="CK74" i="3" s="1"/>
  <c r="M70" i="60"/>
  <c r="E50" i="89"/>
  <c r="L45" i="54"/>
  <c r="N97" i="72"/>
  <c r="G88" i="81"/>
  <c r="L11" i="69"/>
  <c r="E18" i="47"/>
  <c r="O11" i="66"/>
  <c r="G80" i="47"/>
  <c r="G44" i="69"/>
  <c r="E18" i="25"/>
  <c r="J8" i="74"/>
  <c r="O88" i="57"/>
  <c r="E55" i="72"/>
  <c r="O35" i="59"/>
  <c r="O101" i="72"/>
  <c r="M11" i="87"/>
  <c r="G40" i="92"/>
  <c r="F28" i="64"/>
  <c r="E42" i="58"/>
  <c r="O40" i="48"/>
  <c r="I91" i="61"/>
  <c r="K80" i="54"/>
  <c r="O28" i="66"/>
  <c r="M46" i="93"/>
  <c r="M56" i="51"/>
  <c r="N19" i="41"/>
  <c r="O82" i="49"/>
  <c r="E16" i="36"/>
  <c r="H101" i="77"/>
  <c r="E32" i="58"/>
  <c r="I25" i="72"/>
  <c r="D28" i="34"/>
  <c r="L86" i="49"/>
  <c r="L34" i="58"/>
  <c r="O103" i="82"/>
  <c r="I107" i="54"/>
  <c r="O31" i="89"/>
  <c r="L33" i="53"/>
  <c r="O37" i="71"/>
  <c r="H29" i="91"/>
  <c r="K17" i="64"/>
  <c r="E65" i="49"/>
  <c r="F25" i="54"/>
  <c r="D51" i="76"/>
  <c r="I4" i="81"/>
  <c r="L26" i="65"/>
  <c r="L98" i="86"/>
  <c r="D40" i="46"/>
  <c r="H103" i="78"/>
  <c r="G10" i="33"/>
  <c r="G57" i="64"/>
  <c r="F70" i="27"/>
  <c r="O17" i="19"/>
  <c r="CL39" i="3" s="1"/>
  <c r="M101" i="74"/>
  <c r="H95" i="73"/>
  <c r="J4" i="55"/>
  <c r="F15" i="29"/>
  <c r="K80" i="35"/>
  <c r="D91" i="34"/>
  <c r="M56" i="57"/>
  <c r="E38" i="55"/>
  <c r="G106" i="59"/>
  <c r="E36" i="83"/>
  <c r="O54" i="74"/>
  <c r="L28" i="78"/>
  <c r="K38" i="26"/>
  <c r="G56" i="84"/>
  <c r="G14" i="85"/>
  <c r="J51" i="66"/>
  <c r="O54" i="40"/>
  <c r="K24" i="38"/>
  <c r="G76" i="71"/>
  <c r="K18" i="47"/>
  <c r="L25"/>
  <c r="L74" i="27"/>
  <c r="K29" i="81"/>
  <c r="F51" i="35"/>
  <c r="E55" i="83"/>
  <c r="F12" i="93"/>
  <c r="H64" i="57"/>
  <c r="M54" i="48"/>
  <c r="J53" i="67"/>
  <c r="K32" i="63"/>
  <c r="H100" i="27"/>
  <c r="M18" i="91"/>
  <c r="D53" i="39"/>
  <c r="G12" i="57"/>
  <c r="K82" i="75"/>
  <c r="E45" i="41"/>
  <c r="G48" i="87"/>
  <c r="I30" i="29"/>
  <c r="I24" i="78"/>
  <c r="K107" i="59"/>
  <c r="L9" i="33"/>
  <c r="E27" i="92"/>
  <c r="N58"/>
  <c r="J40" i="82"/>
  <c r="E107" i="44"/>
  <c r="H59" i="30"/>
  <c r="H91" i="90"/>
  <c r="F86" i="61"/>
  <c r="J8" i="59"/>
  <c r="H71" i="36"/>
  <c r="M38" i="40"/>
  <c r="K103"/>
  <c r="G45" i="66"/>
  <c r="G11" i="50"/>
  <c r="H14" i="30"/>
  <c r="M20" i="67"/>
  <c r="K25" i="89"/>
  <c r="K13" i="84"/>
  <c r="I16" i="61"/>
  <c r="D18" i="57"/>
  <c r="D73" i="50"/>
  <c r="F40" i="67"/>
  <c r="D35" i="75"/>
  <c r="D36" i="35"/>
  <c r="F17" i="48"/>
  <c r="I16" i="45"/>
  <c r="I4" i="76"/>
  <c r="K80" i="74"/>
  <c r="F52" i="62"/>
  <c r="F30" i="58"/>
  <c r="J77" i="25"/>
  <c r="L13" i="75"/>
  <c r="K6" i="68"/>
  <c r="F31" i="89"/>
  <c r="D61" i="77"/>
  <c r="E32" i="85"/>
  <c r="N79" i="82"/>
  <c r="H43" i="61"/>
  <c r="K94" i="41"/>
  <c r="O30" i="61"/>
  <c r="M46" i="75"/>
  <c r="E48" i="19"/>
  <c r="CB70" i="3" s="1"/>
  <c r="E47" i="26"/>
  <c r="M103" i="84"/>
  <c r="I82" i="85"/>
  <c r="K54" i="40"/>
  <c r="F51" i="90"/>
  <c r="O17" i="34"/>
  <c r="N47" i="81"/>
  <c r="E103" i="46"/>
  <c r="K74" i="47"/>
  <c r="M35" i="64"/>
  <c r="O77" i="55"/>
  <c r="K17" i="59"/>
  <c r="O55" i="81"/>
  <c r="F94" i="71"/>
  <c r="F31" i="91"/>
  <c r="E83" i="58"/>
  <c r="L24"/>
  <c r="G51" i="40"/>
  <c r="O10" i="47"/>
  <c r="G83" i="39"/>
  <c r="G14" i="26"/>
  <c r="G50" i="40"/>
  <c r="D83" i="33"/>
  <c r="O24" i="74"/>
  <c r="H56" i="25"/>
  <c r="L91" i="54"/>
  <c r="E65" i="56"/>
  <c r="J61" i="77"/>
  <c r="L94" i="38"/>
  <c r="F49" i="85"/>
  <c r="G36" i="89"/>
  <c r="K44" i="53"/>
  <c r="E82" i="36"/>
  <c r="M65" i="64"/>
  <c r="K32" i="53"/>
  <c r="I24" i="71"/>
  <c r="N101" i="58"/>
  <c r="I53" i="63"/>
  <c r="O30" i="34"/>
  <c r="J32" i="44"/>
  <c r="K52" i="86"/>
  <c r="N51" i="43"/>
  <c r="H55" i="87"/>
  <c r="E29" i="64"/>
  <c r="L79" i="39"/>
  <c r="O43" i="29"/>
  <c r="D50" i="75"/>
  <c r="M17" i="55"/>
  <c r="E97" i="71"/>
  <c r="K95" i="70"/>
  <c r="M34" i="38"/>
  <c r="O23" i="91"/>
  <c r="D88" i="79"/>
  <c r="N39" i="74"/>
  <c r="N88" i="26"/>
  <c r="I64" i="58"/>
  <c r="O51" i="73"/>
  <c r="H91" i="27"/>
  <c r="K50" i="77"/>
  <c r="G10" i="50"/>
  <c r="J34" i="91"/>
  <c r="K55" i="19"/>
  <c r="D33" i="93"/>
  <c r="E62" i="57"/>
  <c r="H12" i="32"/>
  <c r="H55" i="33"/>
  <c r="H11" i="79"/>
  <c r="E29" i="29"/>
  <c r="H10" i="60"/>
  <c r="J22" i="53"/>
  <c r="H6" i="38"/>
  <c r="I74" i="81"/>
  <c r="G98" i="53"/>
  <c r="I88" i="58"/>
  <c r="F12" i="42"/>
  <c r="H48" i="63"/>
  <c r="M65" i="51"/>
  <c r="L52" i="33"/>
  <c r="G35" i="46"/>
  <c r="E71" i="92"/>
  <c r="M35" i="81"/>
  <c r="K34" i="41"/>
  <c r="K48" i="62"/>
  <c r="L17" i="71"/>
  <c r="F100" i="41"/>
  <c r="D45" i="30"/>
  <c r="N46" i="72"/>
  <c r="I104" i="48"/>
  <c r="H36" i="85"/>
  <c r="H4" i="19"/>
  <c r="L13" i="91"/>
  <c r="O55" i="93"/>
  <c r="D67" i="30"/>
  <c r="K10" i="90"/>
  <c r="H46" i="58"/>
  <c r="O4" i="29"/>
  <c r="N77" i="90"/>
  <c r="M58" i="92"/>
  <c r="L9" i="32"/>
  <c r="M26" i="54"/>
  <c r="N70" i="64"/>
  <c r="L35" i="34"/>
  <c r="J57" i="25"/>
  <c r="D22" i="68"/>
  <c r="G73" i="94"/>
  <c r="I35" i="91"/>
  <c r="G107" i="58"/>
  <c r="J42" i="19"/>
  <c r="L98" i="36"/>
  <c r="K77" i="71"/>
  <c r="F47" i="45"/>
  <c r="E15" i="71"/>
  <c r="I107" i="47"/>
  <c r="N83" i="57"/>
  <c r="G42" i="94"/>
  <c r="K44" i="80"/>
  <c r="K61" i="70"/>
  <c r="E85" i="64"/>
  <c r="G22" i="34"/>
  <c r="E98" i="86"/>
  <c r="L40" i="80"/>
  <c r="I94" i="62"/>
  <c r="H8" i="92"/>
  <c r="M25" i="70"/>
  <c r="K14" i="59"/>
  <c r="N28" i="56"/>
  <c r="M24" i="78"/>
  <c r="O50" i="33"/>
  <c r="I47" i="63"/>
  <c r="D67" i="85"/>
  <c r="G41" i="78"/>
  <c r="F24" i="94"/>
  <c r="D51" i="50"/>
  <c r="H29" i="71"/>
  <c r="E85" i="41"/>
  <c r="G74" i="25"/>
  <c r="J74" i="75"/>
  <c r="L107" i="67"/>
  <c r="H106" i="82"/>
  <c r="J67" i="57"/>
  <c r="L74" i="66"/>
  <c r="G30" i="27"/>
  <c r="L54" i="53"/>
  <c r="E14" i="91"/>
  <c r="F54" i="70"/>
  <c r="K14" i="80"/>
  <c r="K44" i="30"/>
  <c r="G11" i="51"/>
  <c r="CC49" i="3"/>
  <c r="D65" i="56"/>
  <c r="F16" i="83"/>
  <c r="L38" i="36"/>
  <c r="I11" i="72"/>
  <c r="K59" i="38"/>
  <c r="M107" i="78"/>
  <c r="E58" i="55"/>
  <c r="K23" i="74"/>
  <c r="D48" i="71"/>
  <c r="E34" i="53"/>
  <c r="I38" i="87"/>
  <c r="G76" i="59"/>
  <c r="M92" i="93"/>
  <c r="N55" i="59"/>
  <c r="J94" i="33"/>
  <c r="H24" i="65"/>
  <c r="N92" i="76"/>
  <c r="K19" i="55"/>
  <c r="H21" i="75"/>
  <c r="M13" i="49"/>
  <c r="I23" i="81"/>
  <c r="K7" i="74"/>
  <c r="E62" i="34"/>
  <c r="G38" i="46"/>
  <c r="J107" i="27"/>
  <c r="H100" i="57"/>
  <c r="N39" i="69"/>
  <c r="F33" i="82"/>
  <c r="D39" i="25"/>
  <c r="N62" i="73"/>
  <c r="L35" i="59"/>
  <c r="M77" i="86"/>
  <c r="H11" i="53"/>
  <c r="F58" i="78"/>
  <c r="H33" i="82"/>
  <c r="D94" i="64"/>
  <c r="J26" i="63"/>
  <c r="O37" i="29"/>
  <c r="M103" i="78"/>
  <c r="L54" i="38"/>
  <c r="N80" i="73"/>
  <c r="J43" i="77"/>
  <c r="K7" i="44"/>
  <c r="M57" i="92"/>
  <c r="M19" i="54"/>
  <c r="G59" i="65"/>
  <c r="G41" i="68"/>
  <c r="N107" i="75"/>
  <c r="M4" i="91"/>
  <c r="M104" i="51"/>
  <c r="O89" i="93"/>
  <c r="N46" i="81"/>
  <c r="M45" i="26"/>
  <c r="E103" i="32"/>
  <c r="K40" i="86"/>
  <c r="K71" i="47"/>
  <c r="N23" i="68"/>
  <c r="K88" i="34"/>
  <c r="L23" i="33"/>
  <c r="D13" i="54"/>
  <c r="D34" i="86"/>
  <c r="O103" i="71"/>
  <c r="J103" i="72"/>
  <c r="D37" i="27"/>
  <c r="K32" i="55"/>
  <c r="N5" i="33"/>
  <c r="D53" i="60"/>
  <c r="M64" i="34"/>
  <c r="M22" i="81"/>
  <c r="E5" i="66"/>
  <c r="N86" i="25"/>
  <c r="L92" i="19"/>
  <c r="H43" i="36"/>
  <c r="I88" i="61"/>
  <c r="N35" i="35"/>
  <c r="D89" i="47"/>
  <c r="I25" i="76"/>
  <c r="J16" i="36"/>
  <c r="M67" i="75"/>
  <c r="F91" i="51"/>
  <c r="O29" i="36"/>
  <c r="D42" i="44"/>
  <c r="D8" i="48"/>
  <c r="L12" i="84"/>
  <c r="E39" i="46"/>
  <c r="E13" i="80"/>
  <c r="H38" i="36"/>
  <c r="K107" i="74"/>
  <c r="N35" i="32"/>
  <c r="F15" i="44"/>
  <c r="J30" i="59"/>
  <c r="N55" i="71"/>
  <c r="J29" i="89"/>
  <c r="O33" i="81"/>
  <c r="D27" i="38"/>
  <c r="K85" i="89"/>
  <c r="K9" i="81"/>
  <c r="K67" i="47"/>
  <c r="N9" i="91"/>
  <c r="O46" i="76"/>
  <c r="O5" i="33"/>
  <c r="F55" i="30"/>
  <c r="N38" i="48"/>
  <c r="M80" i="78"/>
  <c r="E20" i="47"/>
  <c r="K33" i="94"/>
  <c r="E56" i="29"/>
  <c r="M95" i="74"/>
  <c r="G41" i="92"/>
  <c r="K14" i="71"/>
  <c r="F56" i="32"/>
  <c r="E14" i="82"/>
  <c r="H65" i="83"/>
  <c r="J8" i="55"/>
  <c r="K94" i="62"/>
  <c r="I16" i="42"/>
  <c r="F50"/>
  <c r="N58" i="46"/>
  <c r="J16" i="33"/>
  <c r="O46" i="87"/>
  <c r="F67" i="27"/>
  <c r="D7" i="52"/>
  <c r="E41" i="49"/>
  <c r="D68" i="77"/>
  <c r="L34" i="49"/>
  <c r="H34" i="70"/>
  <c r="O55" i="38"/>
  <c r="J68" i="32"/>
  <c r="K49" i="56"/>
  <c r="N54" i="34"/>
  <c r="G14" i="67"/>
  <c r="M107" i="36"/>
  <c r="O28" i="59"/>
  <c r="N89" i="54"/>
  <c r="K56" i="35"/>
  <c r="N79" i="57"/>
  <c r="L33" i="77"/>
  <c r="G32" i="84"/>
  <c r="D30" i="57"/>
  <c r="F89" i="67"/>
  <c r="F49" i="75"/>
  <c r="E34"/>
  <c r="N86" i="47"/>
  <c r="J52" i="86"/>
  <c r="G12" i="44"/>
  <c r="G80" i="77"/>
  <c r="O88" i="51"/>
  <c r="K107" i="56"/>
  <c r="H44" i="53"/>
  <c r="M16" i="41"/>
  <c r="N4" i="27"/>
  <c r="M5" i="30"/>
  <c r="O59" i="69"/>
  <c r="F42" i="81"/>
  <c r="E74" i="78"/>
  <c r="L13" i="54"/>
  <c r="H89" i="45"/>
  <c r="F12" i="74"/>
  <c r="L37"/>
  <c r="M54" i="36"/>
  <c r="O6" i="73"/>
  <c r="H36" i="77"/>
  <c r="J8" i="84"/>
  <c r="G82" i="69"/>
  <c r="L86" i="94"/>
  <c r="E24" i="55"/>
  <c r="F36" i="34"/>
  <c r="F36" i="19"/>
  <c r="G53" i="62"/>
  <c r="F21" i="40"/>
  <c r="G36" i="85"/>
  <c r="N76" i="35"/>
  <c r="K89" i="86"/>
  <c r="M91" i="74"/>
  <c r="N36" i="19"/>
  <c r="CK58" i="3" s="1"/>
  <c r="J27" i="58"/>
  <c r="I86" i="64"/>
  <c r="G13" i="30"/>
  <c r="I37" i="32"/>
  <c r="J42" i="49"/>
  <c r="G43" i="56"/>
  <c r="I45" i="33"/>
  <c r="J45" i="80"/>
  <c r="K32" i="68"/>
  <c r="K107" i="71"/>
  <c r="H8" i="56"/>
  <c r="K6" i="64"/>
  <c r="D32" i="36"/>
  <c r="M16" i="45"/>
  <c r="H42" i="68"/>
  <c r="N95" i="55"/>
  <c r="N58" i="62"/>
  <c r="M50" i="74"/>
  <c r="N30" i="46"/>
  <c r="M35" i="54"/>
  <c r="K57" i="65"/>
  <c r="O89" i="92"/>
  <c r="K17" i="57"/>
  <c r="E6" i="87"/>
  <c r="E54" i="43"/>
  <c r="G47" i="53"/>
  <c r="G25" i="56"/>
  <c r="J9" i="55"/>
  <c r="G31" i="25"/>
  <c r="H18" i="93"/>
  <c r="L6" i="67"/>
  <c r="G54" i="46"/>
  <c r="D45" i="27"/>
  <c r="F101" i="55"/>
  <c r="J59" i="82"/>
  <c r="K33" i="63"/>
  <c r="F15" i="19"/>
  <c r="I67" i="80"/>
  <c r="I32" i="81"/>
  <c r="L4" i="62"/>
  <c r="I70" i="85"/>
  <c r="F71" i="38"/>
  <c r="E74" i="34"/>
  <c r="J33" i="54"/>
  <c r="I55" i="19"/>
  <c r="F85" i="65"/>
  <c r="N86" i="57"/>
  <c r="L37" i="65"/>
  <c r="E34" i="80"/>
  <c r="F10" i="40"/>
  <c r="J19" i="43"/>
  <c r="D18" i="72"/>
  <c r="K64" i="63"/>
  <c r="J98" i="38"/>
  <c r="M39" i="30"/>
  <c r="K49" i="27"/>
  <c r="H40" i="39"/>
  <c r="G10" i="44"/>
  <c r="H9" i="62"/>
  <c r="H35" i="66"/>
  <c r="G13" i="63"/>
  <c r="N21" i="48"/>
  <c r="F17" i="91"/>
  <c r="N43" i="82"/>
  <c r="F83" i="93"/>
  <c r="H39" i="25"/>
  <c r="L14" i="91"/>
  <c r="O48" i="58"/>
  <c r="G86" i="27"/>
  <c r="F17" i="63"/>
  <c r="J11" i="86"/>
  <c r="H92" i="43"/>
  <c r="M92" i="39"/>
  <c r="D85" i="50"/>
  <c r="O101" i="70"/>
  <c r="G77" i="64"/>
  <c r="K80" i="58"/>
  <c r="O104" i="63"/>
  <c r="K74" i="67"/>
  <c r="J61" i="70"/>
  <c r="K25" i="71"/>
  <c r="J49" i="29"/>
  <c r="G101" i="87"/>
  <c r="F50" i="60"/>
  <c r="E42" i="39"/>
  <c r="H52" i="92"/>
  <c r="J38" i="70"/>
  <c r="I86" i="51"/>
  <c r="J88" i="93"/>
  <c r="M82" i="68"/>
  <c r="H23" i="83"/>
  <c r="H97" i="45"/>
  <c r="M49" i="48"/>
  <c r="M19" i="32"/>
  <c r="G45" i="91"/>
  <c r="L44" i="67"/>
  <c r="M27" i="47"/>
  <c r="D95" i="86"/>
  <c r="N92" i="48"/>
  <c r="H74" i="70"/>
  <c r="J65" i="26"/>
  <c r="F57" i="45"/>
  <c r="E28" i="59"/>
  <c r="L15" i="60"/>
  <c r="H76" i="83"/>
  <c r="CC62" i="3"/>
  <c r="F13" i="35"/>
  <c r="N56" i="47"/>
  <c r="I68" i="64"/>
  <c r="E38" i="82"/>
  <c r="O21" i="38"/>
  <c r="K48" i="51"/>
  <c r="O38" i="34"/>
  <c r="I46" i="39"/>
  <c r="M44" i="90"/>
  <c r="N61" i="60"/>
  <c r="D16" i="50"/>
  <c r="G70" i="63"/>
  <c r="M24" i="61"/>
  <c r="O30" i="93"/>
  <c r="F31" i="79"/>
  <c r="O14" i="94"/>
  <c r="I88" i="40"/>
  <c r="E92" i="33"/>
  <c r="F85" i="77"/>
  <c r="I70" i="69"/>
  <c r="O41" i="92"/>
  <c r="M5" i="81"/>
  <c r="L107" i="68"/>
  <c r="O23" i="33"/>
  <c r="H91" i="91"/>
  <c r="O97" i="43"/>
  <c r="F106" i="83"/>
  <c r="G48" i="58"/>
  <c r="M10" i="63"/>
  <c r="O94" i="29"/>
  <c r="G71" i="60"/>
  <c r="F103" i="41"/>
  <c r="F64" i="45"/>
  <c r="E30" i="49"/>
  <c r="L32" i="29"/>
  <c r="M45" i="43"/>
  <c r="G77" i="32"/>
  <c r="D52" i="86"/>
  <c r="F97" i="61"/>
  <c r="I32" i="71"/>
  <c r="J51" i="33"/>
  <c r="F22" i="30"/>
  <c r="M61" i="71"/>
  <c r="O70" i="90"/>
  <c r="L91" i="93"/>
  <c r="G39" i="51"/>
  <c r="H57" i="73"/>
  <c r="N47" i="26"/>
  <c r="K70" i="94"/>
  <c r="H32" i="35"/>
  <c r="N30" i="70"/>
  <c r="K39" i="81"/>
  <c r="J94" i="66"/>
  <c r="J55" i="78"/>
  <c r="D44"/>
  <c r="L30" i="69"/>
  <c r="D16" i="43"/>
  <c r="CA38" i="3" s="1"/>
  <c r="N58" i="29"/>
  <c r="F18" i="46"/>
  <c r="F20" i="41"/>
  <c r="D43" i="39"/>
  <c r="J19" i="45"/>
  <c r="O61" i="35"/>
  <c r="M44" i="49"/>
  <c r="F74" i="92"/>
  <c r="H8" i="94"/>
  <c r="G97" i="78"/>
  <c r="N107" i="94"/>
  <c r="I33" i="58"/>
  <c r="E106" i="66"/>
  <c r="O76" i="48"/>
  <c r="K34" i="32"/>
  <c r="F26" i="25"/>
  <c r="M12" i="70"/>
  <c r="D13" i="29"/>
  <c r="E57" i="48"/>
  <c r="G46" i="75"/>
  <c r="E85" i="45"/>
  <c r="G107" i="73"/>
  <c r="K21" i="86"/>
  <c r="J13" i="71"/>
  <c r="F94" i="67"/>
  <c r="E34" i="73"/>
  <c r="L98" i="60"/>
  <c r="N20" i="47"/>
  <c r="D95" i="50"/>
  <c r="N74" i="44"/>
  <c r="I46" i="30"/>
  <c r="M62" i="39"/>
  <c r="O77" i="61"/>
  <c r="H58" i="93"/>
  <c r="J91" i="81"/>
  <c r="N74" i="48"/>
  <c r="F62" i="51"/>
  <c r="J86" i="93"/>
  <c r="E68" i="49"/>
  <c r="F9" i="64"/>
  <c r="K64" i="48"/>
  <c r="D62" i="70"/>
  <c r="E7" i="63"/>
  <c r="O34" i="58"/>
  <c r="F65" i="90"/>
  <c r="D19" i="76"/>
  <c r="D58" i="65"/>
  <c r="J71" i="80"/>
  <c r="D46" i="63"/>
  <c r="H31" i="50"/>
  <c r="K14" i="77"/>
  <c r="O42" i="47"/>
  <c r="L77" i="57"/>
  <c r="D59" i="38"/>
  <c r="H79" i="55"/>
  <c r="G103" i="64"/>
  <c r="O64" i="46"/>
  <c r="H57" i="51"/>
  <c r="K76" i="91"/>
  <c r="D54" i="19"/>
  <c r="N71" i="36"/>
  <c r="M107" i="67"/>
  <c r="E71" i="63"/>
  <c r="D8" i="53"/>
  <c r="L67" i="83"/>
  <c r="D12" i="25"/>
  <c r="F37" i="26"/>
  <c r="H25" i="72"/>
  <c r="F54" i="49"/>
  <c r="E38" i="68"/>
  <c r="J58" i="94"/>
  <c r="M25" i="38"/>
  <c r="G7" i="72"/>
  <c r="K82" i="39"/>
  <c r="E28" i="41"/>
  <c r="O8" i="27"/>
  <c r="N32" i="38"/>
  <c r="I64" i="91"/>
  <c r="H62" i="69"/>
  <c r="H19" i="58"/>
  <c r="H17" i="75"/>
  <c r="K80" i="84"/>
  <c r="E35" i="65"/>
  <c r="E10" i="45"/>
  <c r="H8" i="61"/>
  <c r="E48" i="35"/>
  <c r="H11" i="67"/>
  <c r="G7" i="53"/>
  <c r="L98" i="66"/>
  <c r="K97" i="35"/>
  <c r="O77" i="32"/>
  <c r="G76" i="69"/>
  <c r="D101"/>
  <c r="O62" i="27"/>
  <c r="D30" i="59"/>
  <c r="F5" i="60"/>
  <c r="E71" i="50"/>
  <c r="E28" i="19"/>
  <c r="D49" i="78"/>
  <c r="N4" i="76"/>
  <c r="J64"/>
  <c r="G26" i="35"/>
  <c r="L24" i="59"/>
  <c r="D23" i="49"/>
  <c r="N23" i="25"/>
  <c r="D25" i="82"/>
  <c r="I56" i="67"/>
  <c r="O53" i="53"/>
  <c r="N76" i="75"/>
  <c r="L80" i="60"/>
  <c r="F32" i="70"/>
  <c r="L41" i="91"/>
  <c r="H77" i="57"/>
  <c r="G12" i="87"/>
  <c r="H71" i="35"/>
  <c r="L89" i="29"/>
  <c r="K13" i="26"/>
  <c r="K43" i="64"/>
  <c r="I61" i="46"/>
  <c r="N39" i="33"/>
  <c r="J85" i="68"/>
  <c r="N74" i="55"/>
  <c r="I25" i="56"/>
  <c r="D15" i="85"/>
  <c r="F15" i="89"/>
  <c r="D23" i="61"/>
  <c r="D57" i="92"/>
  <c r="I15" i="69"/>
  <c r="E30" i="74"/>
  <c r="G68" i="80"/>
  <c r="D8" i="43"/>
  <c r="CA30" i="3" s="1"/>
  <c r="E8" i="78"/>
  <c r="F46" i="69"/>
  <c r="G57" i="65"/>
  <c r="H4" i="61"/>
  <c r="N103" i="32"/>
  <c r="O49" i="68"/>
  <c r="D23" i="39"/>
  <c r="I48" i="49"/>
  <c r="L26" i="90"/>
  <c r="H51" i="56"/>
  <c r="L31" i="30"/>
  <c r="I51" i="73"/>
  <c r="N51" i="78"/>
  <c r="L13" i="36"/>
  <c r="F62" i="80"/>
  <c r="I18" i="91"/>
  <c r="K53" i="62"/>
  <c r="G94" i="72"/>
  <c r="L7" i="64"/>
  <c r="J17" i="34"/>
  <c r="H59" i="40"/>
  <c r="G13" i="64"/>
  <c r="N23" i="62"/>
  <c r="E42" i="92"/>
  <c r="K45" i="51"/>
  <c r="E98" i="29"/>
  <c r="E52" i="35"/>
  <c r="I14" i="56"/>
  <c r="K67" i="62"/>
  <c r="H106" i="39"/>
  <c r="J41" i="54"/>
  <c r="K31" i="32"/>
  <c r="I85" i="19"/>
  <c r="I17" i="75"/>
  <c r="K58" i="92"/>
  <c r="I22" i="56"/>
  <c r="H65" i="25"/>
  <c r="F55" i="84"/>
  <c r="O34" i="41"/>
  <c r="K7" i="25"/>
  <c r="E56"/>
  <c r="G97" i="72"/>
  <c r="D92" i="30"/>
  <c r="E45" i="26"/>
  <c r="F36" i="25"/>
  <c r="N12" i="86"/>
  <c r="G33" i="59"/>
  <c r="I36" i="81"/>
  <c r="I55" i="80"/>
  <c r="M52" i="84"/>
  <c r="I23" i="26"/>
  <c r="D17" i="73"/>
  <c r="L41" i="67"/>
  <c r="K19" i="78"/>
  <c r="O98" i="80"/>
  <c r="O97" i="47"/>
  <c r="N85" i="19"/>
  <c r="D33" i="47"/>
  <c r="F89" i="87"/>
  <c r="O49" i="32"/>
  <c r="O49" i="27"/>
  <c r="J70" i="62"/>
  <c r="O89" i="56"/>
  <c r="G42" i="27"/>
  <c r="D18" i="44"/>
  <c r="J41" i="89"/>
  <c r="O64" i="82"/>
  <c r="K25" i="33"/>
  <c r="M52" i="53"/>
  <c r="N38" i="49"/>
  <c r="F43" i="45"/>
  <c r="N82" i="92"/>
  <c r="N15" i="68"/>
  <c r="J61"/>
  <c r="I73" i="76"/>
  <c r="J9" i="82"/>
  <c r="M29" i="32"/>
  <c r="H7" i="94"/>
  <c r="K33" i="66"/>
  <c r="K77" i="87"/>
  <c r="M103" i="82"/>
  <c r="E28" i="86"/>
  <c r="F40" i="63"/>
  <c r="H58" i="58"/>
  <c r="D29" i="93"/>
  <c r="F46" i="75"/>
  <c r="F98" i="65"/>
  <c r="I94" i="33"/>
  <c r="H45" i="80"/>
  <c r="G45" i="76"/>
  <c r="N95" i="29"/>
  <c r="M74" i="45"/>
  <c r="N13" i="69"/>
  <c r="G56" i="59"/>
  <c r="J25" i="25"/>
  <c r="O80" i="58"/>
  <c r="G64" i="56"/>
  <c r="J5" i="94"/>
  <c r="E40"/>
  <c r="I70" i="55"/>
  <c r="O77" i="77"/>
  <c r="G33" i="81"/>
  <c r="I68" i="61"/>
  <c r="D57" i="62"/>
  <c r="G5" i="90"/>
  <c r="K48" i="49"/>
  <c r="H77" i="81"/>
  <c r="H92" i="92"/>
  <c r="D55" i="79"/>
  <c r="G52" i="38"/>
  <c r="M71" i="60"/>
  <c r="I56" i="45"/>
  <c r="F79" i="32"/>
  <c r="O89" i="25"/>
  <c r="O7" i="61"/>
  <c r="G70" i="46"/>
  <c r="L97" i="39"/>
  <c r="K15" i="71"/>
  <c r="M57" i="19"/>
  <c r="F58" i="42"/>
  <c r="D15" i="25"/>
  <c r="O6" i="92"/>
  <c r="D53" i="80"/>
  <c r="X52" i="96" s="1"/>
  <c r="L22" i="89"/>
  <c r="L92" i="40"/>
  <c r="H52" i="49"/>
  <c r="N39" i="58"/>
  <c r="K49" i="90"/>
  <c r="G61" i="60"/>
  <c r="G57" i="69"/>
  <c r="O10" i="32"/>
  <c r="H54" i="55"/>
  <c r="H43" i="47"/>
  <c r="F103" i="59"/>
  <c r="H28" i="76"/>
  <c r="M39" i="64"/>
  <c r="D53" i="87"/>
  <c r="E28" i="74"/>
  <c r="G49" i="44"/>
  <c r="F44" i="74"/>
  <c r="I80" i="41"/>
  <c r="F43" i="61"/>
  <c r="D49" i="58"/>
  <c r="L74" i="33"/>
  <c r="M43" i="29"/>
  <c r="H38" i="90"/>
  <c r="O42" i="63"/>
  <c r="K52" i="67"/>
  <c r="G19" i="93"/>
  <c r="M92" i="54"/>
  <c r="G31" i="89"/>
  <c r="E27" i="91"/>
  <c r="G38" i="51"/>
  <c r="N80" i="65"/>
  <c r="F68" i="84"/>
  <c r="E79" i="26"/>
  <c r="D94" i="56"/>
  <c r="M56" i="86"/>
  <c r="I58" i="48"/>
  <c r="G68" i="91"/>
  <c r="L70" i="19"/>
  <c r="O64" i="34"/>
  <c r="O31" i="59"/>
  <c r="I103" i="27"/>
  <c r="E53" i="60"/>
  <c r="F20" i="91"/>
  <c r="J20" i="40"/>
  <c r="I55" i="81"/>
  <c r="N44" i="74"/>
  <c r="I92" i="40"/>
  <c r="N97" i="83"/>
  <c r="D6" i="89"/>
  <c r="I97" i="85"/>
  <c r="F95" i="38"/>
  <c r="N35" i="25"/>
  <c r="L21" i="75"/>
  <c r="H41" i="65"/>
  <c r="M73" i="68"/>
  <c r="F100" i="75"/>
  <c r="N107" i="93"/>
  <c r="F65" i="32"/>
  <c r="F21" i="43"/>
  <c r="I15" i="62"/>
  <c r="L16" i="58"/>
  <c r="I98" i="66"/>
  <c r="M52" i="70"/>
  <c r="H50" i="92"/>
  <c r="F22" i="76"/>
  <c r="D36" i="38"/>
  <c r="L36" i="78"/>
  <c r="I37" i="53"/>
  <c r="E57" i="52"/>
  <c r="O91" i="78"/>
  <c r="G18" i="80"/>
  <c r="D103" i="19"/>
  <c r="H44" i="81"/>
  <c r="K71" i="29"/>
  <c r="G20" i="25"/>
  <c r="H80" i="34"/>
  <c r="G31" i="65"/>
  <c r="H18" i="25"/>
  <c r="D53" i="38"/>
  <c r="N20" i="26"/>
  <c r="D41" i="29"/>
  <c r="E62" i="65"/>
  <c r="H83" i="67"/>
  <c r="I86" i="27"/>
  <c r="N59" i="26"/>
  <c r="M33" i="83"/>
  <c r="D26" i="65"/>
  <c r="F74" i="55"/>
  <c r="E55" i="44"/>
  <c r="N38" i="81"/>
  <c r="K74" i="46"/>
  <c r="M55" i="60"/>
  <c r="H12" i="58"/>
  <c r="M45" i="90"/>
  <c r="E25" i="74"/>
  <c r="O68" i="81"/>
  <c r="M77" i="45"/>
  <c r="H35" i="49"/>
  <c r="E98" i="38"/>
  <c r="E91" i="27"/>
  <c r="O79" i="56"/>
  <c r="O38" i="57"/>
  <c r="I7" i="19"/>
  <c r="G43" i="43"/>
  <c r="F67" i="57"/>
  <c r="E82" i="40"/>
  <c r="O26" i="66"/>
  <c r="I76" i="35"/>
  <c r="D91" i="58"/>
  <c r="J25" i="64"/>
  <c r="M52" i="62"/>
  <c r="D12" i="36"/>
  <c r="H24" i="35"/>
  <c r="F29" i="46"/>
  <c r="L54" i="74"/>
  <c r="O107" i="33"/>
  <c r="H23" i="30"/>
  <c r="M82" i="39"/>
  <c r="I14" i="36"/>
  <c r="F30" i="65"/>
  <c r="O80" i="82"/>
  <c r="G30" i="78"/>
  <c r="H16" i="43"/>
  <c r="D104" i="80"/>
  <c r="N46" i="92"/>
  <c r="G83" i="73"/>
  <c r="J103" i="45"/>
  <c r="M94" i="76"/>
  <c r="K21" i="87"/>
  <c r="H11" i="65"/>
  <c r="N68" i="55"/>
  <c r="E18" i="60"/>
  <c r="J17" i="53"/>
  <c r="H52" i="65"/>
  <c r="I83" i="68"/>
  <c r="F38" i="19"/>
  <c r="J31" i="27"/>
  <c r="M18" i="69"/>
  <c r="H35" i="91"/>
  <c r="M97" i="36"/>
  <c r="I50" i="84"/>
  <c r="O61" i="70"/>
  <c r="F77" i="47"/>
  <c r="H106" i="43"/>
  <c r="K52" i="60"/>
  <c r="D73" i="67"/>
  <c r="H27" i="40"/>
  <c r="J85" i="45"/>
  <c r="E32"/>
  <c r="N21" i="94"/>
  <c r="F97" i="65"/>
  <c r="G43" i="52"/>
  <c r="I86" i="39"/>
  <c r="O100" i="72"/>
  <c r="L58" i="56"/>
  <c r="H82" i="58"/>
  <c r="H38" i="81"/>
  <c r="H42" i="70"/>
  <c r="M76" i="45"/>
  <c r="E103" i="40"/>
  <c r="O30" i="75"/>
  <c r="G98" i="64"/>
  <c r="I13" i="73"/>
  <c r="H17" i="78"/>
  <c r="J46" i="53"/>
  <c r="O40" i="40"/>
  <c r="N13" i="33"/>
  <c r="F6" i="29"/>
  <c r="J86" i="90"/>
  <c r="D95" i="84"/>
  <c r="J59" i="38"/>
  <c r="K24" i="49"/>
  <c r="J22" i="59"/>
  <c r="D97" i="69"/>
  <c r="F9" i="53"/>
  <c r="M46" i="25"/>
  <c r="N65" i="32"/>
  <c r="N65" i="47"/>
  <c r="O48" i="55"/>
  <c r="I37" i="36"/>
  <c r="G86" i="94"/>
  <c r="J61" i="27"/>
  <c r="O91" i="45"/>
  <c r="G10" i="52"/>
  <c r="M44" i="75"/>
  <c r="N95" i="89"/>
  <c r="M11" i="61"/>
  <c r="F100" i="81"/>
  <c r="O67" i="32"/>
  <c r="G27" i="91"/>
  <c r="O74" i="34"/>
  <c r="M39" i="45"/>
  <c r="K24" i="86"/>
  <c r="O11" i="78"/>
  <c r="I62" i="66"/>
  <c r="O36" i="30"/>
  <c r="H27" i="62"/>
  <c r="K36" i="22"/>
  <c r="D21" i="19"/>
  <c r="K37" i="62"/>
  <c r="F27" i="44"/>
  <c r="H80" i="85"/>
  <c r="O55" i="55"/>
  <c r="E48" i="50"/>
  <c r="I44" i="62"/>
  <c r="H22" i="80"/>
  <c r="J106" i="76"/>
  <c r="H30" i="39"/>
  <c r="L7" i="89"/>
  <c r="H67" i="70"/>
  <c r="H80" i="90"/>
  <c r="E92" i="75"/>
  <c r="F97" i="72"/>
  <c r="L103" i="60"/>
  <c r="J91" i="77"/>
  <c r="K65" i="36"/>
  <c r="G42" i="48"/>
  <c r="I30"/>
  <c r="M97" i="25"/>
  <c r="H44" i="34"/>
  <c r="G7" i="89"/>
  <c r="H76" i="65"/>
  <c r="J32" i="55"/>
  <c r="K74" i="80"/>
  <c r="K38" i="29"/>
  <c r="E31" i="35"/>
  <c r="M28" i="53"/>
  <c r="L97" i="91"/>
  <c r="K12" i="25"/>
  <c r="K11" i="68"/>
  <c r="O11" i="91"/>
  <c r="N62" i="78"/>
  <c r="D25" i="56"/>
  <c r="N24" i="40"/>
  <c r="O91" i="51"/>
  <c r="J18" i="40"/>
  <c r="K82" i="55"/>
  <c r="N5" i="43"/>
  <c r="D88"/>
  <c r="L98" i="91"/>
  <c r="J104" i="48"/>
  <c r="D79" i="25"/>
  <c r="J100" i="73"/>
  <c r="N76" i="48"/>
  <c r="O83" i="93"/>
  <c r="F47" i="50"/>
  <c r="D65" i="86"/>
  <c r="L73" i="68"/>
  <c r="D20" i="79"/>
  <c r="H65" i="47"/>
  <c r="K23" i="34"/>
  <c r="E6" i="82"/>
  <c r="F40" i="42"/>
  <c r="J49" i="69"/>
  <c r="M91" i="87"/>
  <c r="I39" i="90"/>
  <c r="N74" i="81"/>
  <c r="D12" i="82"/>
  <c r="G86" i="87"/>
  <c r="E16" i="65"/>
  <c r="F94" i="66"/>
  <c r="I6" i="33"/>
  <c r="D5" i="80"/>
  <c r="E59" i="61"/>
  <c r="N24" i="36"/>
  <c r="G56" i="69"/>
  <c r="I4" i="64"/>
  <c r="G58" i="51"/>
  <c r="I34" i="59"/>
  <c r="M15" i="39"/>
  <c r="E31" i="33"/>
  <c r="G67" i="43"/>
  <c r="E70" i="82"/>
  <c r="M64" i="66"/>
  <c r="F101" i="33"/>
  <c r="O19" i="53"/>
  <c r="I82" i="54"/>
  <c r="D36" i="50"/>
  <c r="F40" i="66"/>
  <c r="O106" i="45"/>
  <c r="J26" i="32"/>
  <c r="L28" i="70"/>
  <c r="D104" i="27"/>
  <c r="E38" i="40"/>
  <c r="N68" i="68"/>
  <c r="J29" i="39"/>
  <c r="I10" i="51"/>
  <c r="D22" i="73"/>
  <c r="G47" i="77"/>
  <c r="D18" i="53"/>
  <c r="K100" i="55"/>
  <c r="I47" i="33"/>
  <c r="I77" i="58"/>
  <c r="N47" i="76"/>
  <c r="F36" i="83"/>
  <c r="G91" i="30"/>
  <c r="G80" i="69"/>
  <c r="E85" i="19"/>
  <c r="D25" i="65"/>
  <c r="O42" i="48"/>
  <c r="D61" i="55"/>
  <c r="K42" i="35"/>
  <c r="L67" i="65"/>
  <c r="H52" i="68"/>
  <c r="I101" i="84"/>
  <c r="M27" i="64"/>
  <c r="L104" i="83"/>
  <c r="L51" i="29"/>
  <c r="E30" i="83"/>
  <c r="E100"/>
  <c r="F83"/>
  <c r="D20" i="41"/>
  <c r="J7" i="86"/>
  <c r="F97" i="67"/>
  <c r="M79" i="56"/>
  <c r="I62" i="94"/>
  <c r="L42" i="35"/>
  <c r="G95" i="82"/>
  <c r="E47" i="67"/>
  <c r="I48" i="46"/>
  <c r="N53" i="29"/>
  <c r="L9" i="81"/>
  <c r="N6" i="35"/>
  <c r="F88" i="65"/>
  <c r="J62" i="66"/>
  <c r="J35" i="74"/>
  <c r="J97" i="92"/>
  <c r="J89" i="79"/>
  <c r="H20" i="25"/>
  <c r="J43" i="30"/>
  <c r="N42" i="73"/>
  <c r="K42" i="26"/>
  <c r="J17" i="54"/>
  <c r="M94" i="38"/>
  <c r="G32" i="81"/>
  <c r="I41" i="85"/>
  <c r="M83" i="57"/>
  <c r="O7" i="47"/>
  <c r="L17" i="32"/>
  <c r="G25" i="70"/>
  <c r="J20" i="69"/>
  <c r="D55" i="80"/>
  <c r="G23" i="29"/>
  <c r="H64" i="85"/>
  <c r="L101" i="68"/>
  <c r="N91" i="82"/>
  <c r="D86" i="25"/>
  <c r="J57" i="77"/>
  <c r="M95" i="84"/>
  <c r="K8" i="25"/>
  <c r="I42" i="69"/>
  <c r="G31" i="33"/>
  <c r="N55" i="90"/>
  <c r="I27" i="65"/>
  <c r="H88" i="80"/>
  <c r="I7" i="66"/>
  <c r="L5" i="32"/>
  <c r="N77" i="33"/>
  <c r="E30" i="30"/>
  <c r="K37" i="61"/>
  <c r="O24" i="77"/>
  <c r="F45" i="51"/>
  <c r="G9" i="44"/>
  <c r="O26" i="73"/>
  <c r="I82" i="56"/>
  <c r="F88" i="60"/>
  <c r="L33" i="92"/>
  <c r="L45" i="59"/>
  <c r="L91" i="34"/>
  <c r="M22" i="32"/>
  <c r="O34" i="48"/>
  <c r="K85" i="29"/>
  <c r="I89" i="77"/>
  <c r="F15"/>
  <c r="J13" i="29"/>
  <c r="D18" i="81"/>
  <c r="F25" i="36"/>
  <c r="E38" i="64"/>
  <c r="N23" i="43"/>
  <c r="I49" i="50"/>
  <c r="H79" i="93"/>
  <c r="G101" i="94"/>
  <c r="N30" i="78"/>
  <c r="I89" i="87"/>
  <c r="F42" i="66"/>
  <c r="I43" i="46"/>
  <c r="E107" i="30"/>
  <c r="N103" i="91"/>
  <c r="L48" i="47"/>
  <c r="L92" i="94"/>
  <c r="H57"/>
  <c r="N24" i="69"/>
  <c r="O58" i="82"/>
  <c r="O61"/>
  <c r="L38" i="74"/>
  <c r="L100" i="81"/>
  <c r="E62" i="47"/>
  <c r="E101" i="49"/>
  <c r="M67" i="60"/>
  <c r="D50" i="61"/>
  <c r="N98" i="29"/>
  <c r="D18" i="48"/>
  <c r="N80" i="69"/>
  <c r="D32" i="58"/>
  <c r="F53" i="26"/>
  <c r="I107" i="53"/>
  <c r="H91" i="81"/>
  <c r="E6" i="69"/>
  <c r="E58" i="68"/>
  <c r="N77" i="86"/>
  <c r="N4" i="19"/>
  <c r="CK26" i="3" s="1"/>
  <c r="K59" i="72"/>
  <c r="K80" i="57"/>
  <c r="H19" i="93"/>
  <c r="N59" i="78"/>
  <c r="K6" i="33"/>
  <c r="H98" i="50"/>
  <c r="CC42" i="3"/>
  <c r="O17" i="32"/>
  <c r="E85" i="39"/>
  <c r="I13" i="43"/>
  <c r="I62" i="85"/>
  <c r="E68" i="59"/>
  <c r="F5" i="55"/>
  <c r="L57" i="56"/>
  <c r="I51" i="36"/>
  <c r="I106" i="70"/>
  <c r="E80" i="80"/>
  <c r="E23" i="52"/>
  <c r="M21" i="25"/>
  <c r="K56" i="19"/>
  <c r="I8" i="74"/>
  <c r="J104" i="70"/>
  <c r="G26" i="41"/>
  <c r="H91" i="85"/>
  <c r="J33" i="43"/>
  <c r="O56" i="33"/>
  <c r="N39" i="68"/>
  <c r="E33" i="56"/>
  <c r="J34" i="62"/>
  <c r="M68" i="90"/>
  <c r="J37" i="76"/>
  <c r="M91" i="73"/>
  <c r="D54" i="80"/>
  <c r="I5" i="87"/>
  <c r="G68" i="26"/>
  <c r="G77" i="50"/>
  <c r="M28" i="29"/>
  <c r="E46" i="25"/>
  <c r="H62" i="30"/>
  <c r="F77" i="87"/>
  <c r="D48" i="19"/>
  <c r="F56" i="35"/>
  <c r="E19"/>
  <c r="K45" i="38"/>
  <c r="J33" i="77"/>
  <c r="F10" i="53"/>
  <c r="L83" i="54"/>
  <c r="N94" i="92"/>
  <c r="N21" i="74"/>
  <c r="I31" i="56"/>
  <c r="D9" i="74"/>
  <c r="H35" i="64"/>
  <c r="N35" i="26"/>
  <c r="G9" i="61"/>
  <c r="K9" i="40"/>
  <c r="E59" i="30"/>
  <c r="F74" i="53"/>
  <c r="M57" i="27"/>
  <c r="J30" i="90"/>
  <c r="J36" i="87"/>
  <c r="O32" i="30"/>
  <c r="E21" i="85"/>
  <c r="I9" i="73"/>
  <c r="O107" i="67"/>
  <c r="E4" i="69"/>
  <c r="M9" i="77"/>
  <c r="D22" i="49"/>
  <c r="E18" i="81"/>
  <c r="D20" i="92"/>
  <c r="L73" i="56"/>
  <c r="E85" i="46"/>
  <c r="J67" i="41"/>
  <c r="F7" i="45"/>
  <c r="F46" i="51"/>
  <c r="F43" i="48"/>
  <c r="I45" i="85"/>
  <c r="I94" i="39"/>
  <c r="L62" i="34"/>
  <c r="N10" i="57"/>
  <c r="E29" i="68"/>
  <c r="K41" i="53"/>
  <c r="I51" i="25"/>
  <c r="H44" i="41"/>
  <c r="K27" i="39"/>
  <c r="G97" i="94"/>
  <c r="H91" i="54"/>
  <c r="M57" i="55"/>
  <c r="L40" i="69"/>
  <c r="H9" i="48"/>
  <c r="E65" i="33"/>
  <c r="G41" i="40"/>
  <c r="J48" i="73"/>
  <c r="L43" i="40"/>
  <c r="G23" i="41"/>
  <c r="J38" i="81"/>
  <c r="J33" i="46"/>
  <c r="F41" i="93"/>
  <c r="E65" i="27"/>
  <c r="I98" i="83"/>
  <c r="F100" i="46"/>
  <c r="E49" i="78"/>
  <c r="K40" i="60"/>
  <c r="M67" i="53"/>
  <c r="H11" i="60"/>
  <c r="J22" i="43"/>
  <c r="O98" i="68"/>
  <c r="H97" i="78"/>
  <c r="L79" i="40"/>
  <c r="H95" i="53"/>
  <c r="L61" i="57"/>
  <c r="G79" i="70"/>
  <c r="J56" i="41"/>
  <c r="O41" i="56"/>
  <c r="K23" i="82"/>
  <c r="H42" i="49"/>
  <c r="D18" i="35"/>
  <c r="N79" i="83"/>
  <c r="G22" i="61"/>
  <c r="F55" i="87"/>
  <c r="E54" i="55"/>
  <c r="L56" i="66"/>
  <c r="N37" i="53"/>
  <c r="L67" i="68"/>
  <c r="D86" i="47"/>
  <c r="N94" i="64"/>
  <c r="I88" i="65"/>
  <c r="L48" i="32"/>
  <c r="K101" i="36"/>
  <c r="E77" i="40"/>
  <c r="D104" i="49"/>
  <c r="D80" i="45"/>
  <c r="O45" i="55"/>
  <c r="E26" i="94"/>
  <c r="N85" i="64"/>
  <c r="F18" i="65"/>
  <c r="M85" i="48"/>
  <c r="D57" i="34"/>
  <c r="H65" i="57"/>
  <c r="J91" i="87"/>
  <c r="O26" i="53"/>
  <c r="O10" i="59"/>
  <c r="L101" i="69"/>
  <c r="F13" i="25"/>
  <c r="H17" i="61"/>
  <c r="L52" i="35"/>
  <c r="H106" i="66"/>
  <c r="E44" i="55"/>
  <c r="E22" i="19"/>
  <c r="H17" i="93"/>
  <c r="K37" i="83"/>
  <c r="H7" i="30"/>
  <c r="J52" i="55"/>
  <c r="D61" i="85"/>
  <c r="N12" i="25"/>
  <c r="N17" i="41"/>
  <c r="M19" i="92"/>
  <c r="M12" i="51"/>
  <c r="N106" i="40"/>
  <c r="D30" i="52"/>
  <c r="J86" i="27"/>
  <c r="L49" i="65"/>
  <c r="N88" i="34"/>
  <c r="M80" i="77"/>
  <c r="M46" i="91"/>
  <c r="J106" i="54"/>
  <c r="D17" i="62"/>
  <c r="E51" i="64"/>
  <c r="M7" i="54"/>
  <c r="CC29" i="3"/>
  <c r="H42" i="45"/>
  <c r="J48" i="92"/>
  <c r="H46" i="40"/>
  <c r="H80" i="83"/>
  <c r="K95" i="91"/>
  <c r="F83" i="64"/>
  <c r="N28" i="25"/>
  <c r="D18" i="83"/>
  <c r="O45" i="34"/>
  <c r="E86" i="40"/>
  <c r="K13" i="76"/>
  <c r="N38" i="94"/>
  <c r="H61" i="34"/>
  <c r="K19" i="81"/>
  <c r="O45" i="51"/>
  <c r="N33" i="72"/>
  <c r="L15" i="44"/>
  <c r="J31" i="74"/>
  <c r="G89" i="77"/>
  <c r="L101" i="35"/>
  <c r="F43" i="55"/>
  <c r="E11" i="60"/>
  <c r="J14" i="34"/>
  <c r="L86" i="62"/>
  <c r="O25" i="75"/>
  <c r="N64" i="71"/>
  <c r="L11" i="75"/>
  <c r="I41" i="72"/>
  <c r="G14" i="82"/>
  <c r="G101" i="79"/>
  <c r="I49" i="54"/>
  <c r="H35" i="73"/>
  <c r="N67" i="45"/>
  <c r="H61" i="19"/>
  <c r="O106" i="69"/>
  <c r="M10" i="73"/>
  <c r="G103" i="61"/>
  <c r="H107" i="55"/>
  <c r="M88" i="26"/>
  <c r="K21" i="65"/>
  <c r="G46" i="84"/>
  <c r="F12" i="85"/>
  <c r="F101" i="74"/>
  <c r="O39" i="60"/>
  <c r="D17" i="82"/>
  <c r="K98" i="73"/>
  <c r="K25" i="29"/>
  <c r="D97" i="77"/>
  <c r="O8" i="58"/>
  <c r="H31" i="35"/>
  <c r="L64" i="40"/>
  <c r="D22" i="35"/>
  <c r="H21" i="79"/>
  <c r="F55" i="27"/>
  <c r="L100" i="26"/>
  <c r="O31" i="81"/>
  <c r="F65" i="60"/>
  <c r="D42" i="65"/>
  <c r="D67" i="71"/>
  <c r="I101" i="33"/>
  <c r="N26" i="64"/>
  <c r="G36" i="59"/>
  <c r="F55" i="81"/>
  <c r="G4" i="74"/>
  <c r="I100" i="92"/>
  <c r="N70" i="35"/>
  <c r="J19" i="86"/>
  <c r="G19" i="68"/>
  <c r="M32" i="56"/>
  <c r="I70" i="90"/>
  <c r="K23" i="39"/>
  <c r="N53" i="54"/>
  <c r="L89" i="82"/>
  <c r="J18" i="61"/>
  <c r="D50" i="60"/>
  <c r="I42" i="89"/>
  <c r="H36" i="43"/>
  <c r="F12" i="79"/>
  <c r="J100" i="83"/>
  <c r="O28" i="94"/>
  <c r="F45" i="27"/>
  <c r="O94" i="48"/>
  <c r="K45" i="82"/>
  <c r="N70" i="89"/>
  <c r="G26" i="40"/>
  <c r="D22" i="56"/>
  <c r="I19" i="89"/>
  <c r="J65" i="46"/>
  <c r="I40" i="25"/>
  <c r="I73" i="57"/>
  <c r="D92" i="92"/>
  <c r="I20" i="35"/>
  <c r="N26" i="25"/>
  <c r="D97" i="85"/>
  <c r="G26" i="19"/>
  <c r="L58" i="77"/>
  <c r="J85" i="72"/>
  <c r="M14" i="94"/>
  <c r="J34" i="44"/>
  <c r="G21" i="94"/>
  <c r="F62" i="89"/>
  <c r="E97" i="51"/>
  <c r="E13" i="66"/>
  <c r="G40" i="93"/>
  <c r="O83" i="55"/>
  <c r="L9" i="66"/>
  <c r="D86" i="19"/>
  <c r="J13" i="32"/>
  <c r="D43" i="90"/>
  <c r="K34" i="70"/>
  <c r="H17" i="53"/>
  <c r="K33" i="40"/>
  <c r="J27" i="56"/>
  <c r="I61" i="59"/>
  <c r="F29" i="44"/>
  <c r="M68" i="54"/>
  <c r="E13" i="68"/>
  <c r="F79" i="34"/>
  <c r="D51" i="67"/>
  <c r="L40" i="40"/>
  <c r="O91" i="59"/>
  <c r="O25" i="80"/>
  <c r="J86" i="46"/>
  <c r="F5" i="89"/>
  <c r="H76" i="33"/>
  <c r="N103" i="83"/>
  <c r="E9" i="55"/>
  <c r="M35" i="48"/>
  <c r="H15" i="54"/>
  <c r="M34" i="43"/>
  <c r="G14" i="56"/>
  <c r="H92" i="83"/>
  <c r="K57" i="60"/>
  <c r="H26" i="79"/>
  <c r="M83" i="61"/>
  <c r="J61" i="63"/>
  <c r="E37" i="86"/>
  <c r="K104" i="91"/>
  <c r="L51" i="94"/>
  <c r="N28" i="29"/>
  <c r="J36" i="72"/>
  <c r="H47" i="26"/>
  <c r="J26" i="43"/>
  <c r="L100" i="63"/>
  <c r="D74" i="59"/>
  <c r="D65" i="40"/>
  <c r="D62" i="77"/>
  <c r="K16" i="30"/>
  <c r="G30" i="54"/>
  <c r="D56" i="77"/>
  <c r="J58" i="90"/>
  <c r="L76" i="70"/>
  <c r="D7" i="27"/>
  <c r="O80" i="73"/>
  <c r="I70" i="71"/>
  <c r="O73" i="90"/>
  <c r="I51" i="33"/>
  <c r="G13" i="26"/>
  <c r="M97" i="67"/>
  <c r="H34" i="25"/>
  <c r="J74" i="60"/>
  <c r="D55" i="47"/>
  <c r="G48" i="60"/>
  <c r="G15" i="25"/>
  <c r="G36" i="56"/>
  <c r="J55" i="26"/>
  <c r="O9" i="76"/>
  <c r="K11" i="60"/>
  <c r="E83" i="51"/>
  <c r="E64" i="56"/>
  <c r="L45" i="57"/>
  <c r="H21" i="84"/>
  <c r="E31" i="65"/>
  <c r="E39" i="78"/>
  <c r="J24" i="30"/>
  <c r="L18" i="54"/>
  <c r="H104" i="70"/>
  <c r="F19" i="45"/>
  <c r="O4" i="27"/>
  <c r="K36" i="93"/>
  <c r="N91" i="45"/>
  <c r="E67" i="33"/>
  <c r="G39" i="54"/>
  <c r="F44" i="64"/>
  <c r="F40" i="44"/>
  <c r="O79" i="48"/>
  <c r="K4" i="25"/>
  <c r="K15" i="30"/>
  <c r="D61" i="91"/>
  <c r="H95" i="84"/>
  <c r="K54" i="77"/>
  <c r="H29" i="19"/>
  <c r="F51" i="60"/>
  <c r="J97" i="74"/>
  <c r="O30" i="51"/>
  <c r="O6" i="62"/>
  <c r="E58" i="46"/>
  <c r="J70" i="27"/>
  <c r="N57" i="19"/>
  <c r="H8" i="78"/>
  <c r="K64" i="68"/>
  <c r="H53" i="78"/>
  <c r="H43" i="62"/>
  <c r="F101" i="47"/>
  <c r="E5" i="53"/>
  <c r="G20" i="60"/>
  <c r="F55" i="53"/>
  <c r="D34" i="61"/>
  <c r="M61" i="58"/>
  <c r="L36" i="70"/>
  <c r="I67" i="67"/>
  <c r="M27" i="39"/>
  <c r="N42" i="34"/>
  <c r="H56" i="91"/>
  <c r="D29" i="64"/>
  <c r="E42" i="55"/>
  <c r="F103" i="80"/>
  <c r="L10" i="73"/>
  <c r="L9" i="26"/>
  <c r="F28" i="70"/>
  <c r="O97" i="30"/>
  <c r="M74" i="27"/>
  <c r="D107" i="45"/>
  <c r="I32"/>
  <c r="K29" i="75"/>
  <c r="L94" i="80"/>
  <c r="M28" i="36"/>
  <c r="M6" i="63"/>
  <c r="M51" i="40"/>
  <c r="M92" i="76"/>
  <c r="D22" i="92"/>
  <c r="E9" i="50"/>
  <c r="L13" i="27"/>
  <c r="D18" i="26"/>
  <c r="O56" i="90"/>
  <c r="G31" i="46"/>
  <c r="K4" i="26"/>
  <c r="I83" i="89"/>
  <c r="F48" i="79"/>
  <c r="E29" i="71"/>
  <c r="G33" i="56"/>
  <c r="O64" i="87"/>
  <c r="J51" i="83"/>
  <c r="H21" i="65"/>
  <c r="D28" i="78"/>
  <c r="I17" i="64"/>
  <c r="F34" i="58"/>
  <c r="F39" i="78"/>
  <c r="O74" i="29"/>
  <c r="E107" i="81"/>
  <c r="D71" i="44"/>
  <c r="J70" i="79"/>
  <c r="G85" i="91"/>
  <c r="M74"/>
  <c r="E19" i="59"/>
  <c r="K33" i="70"/>
  <c r="F31" i="69"/>
  <c r="N74" i="41"/>
  <c r="O31" i="35"/>
  <c r="D64"/>
  <c r="O57" i="78"/>
  <c r="F57" i="91"/>
  <c r="H67" i="19"/>
  <c r="G92" i="43"/>
  <c r="N19" i="82"/>
  <c r="I27" i="38"/>
  <c r="D37" i="29"/>
  <c r="J85" i="51"/>
  <c r="F58" i="53"/>
  <c r="D49" i="44"/>
  <c r="O45" i="29"/>
  <c r="H31" i="55"/>
  <c r="G26" i="27"/>
  <c r="F91" i="76"/>
  <c r="K73" i="41"/>
  <c r="H91" i="78"/>
  <c r="E30" i="77"/>
  <c r="H29" i="90"/>
  <c r="M88" i="73"/>
  <c r="E9" i="66"/>
  <c r="G95" i="49"/>
  <c r="D33" i="36"/>
  <c r="F42" i="64"/>
  <c r="M21" i="61"/>
  <c r="O40" i="54"/>
  <c r="E23" i="82"/>
  <c r="E77" i="29"/>
  <c r="E88" i="39"/>
  <c r="F88" i="66"/>
  <c r="K17" i="86"/>
  <c r="K73" i="68"/>
  <c r="E89" i="56"/>
  <c r="M106" i="83"/>
  <c r="F65" i="76"/>
  <c r="J17" i="93"/>
  <c r="F82" i="90"/>
  <c r="L67" i="86"/>
  <c r="I86" i="55"/>
  <c r="I20"/>
  <c r="O48" i="46"/>
  <c r="I32" i="34"/>
  <c r="I36" i="57"/>
  <c r="H10" i="59"/>
  <c r="H35" i="38"/>
  <c r="M88" i="89"/>
  <c r="H53" i="83"/>
  <c r="H42" i="76"/>
  <c r="F4" i="39"/>
  <c r="G80" i="61"/>
  <c r="J28" i="47"/>
  <c r="M24" i="91"/>
  <c r="O32" i="25"/>
  <c r="E42" i="36"/>
  <c r="F6" i="68"/>
  <c r="O106" i="53"/>
  <c r="L106" i="83"/>
  <c r="D43" i="69"/>
  <c r="H89" i="27"/>
  <c r="E37" i="56"/>
  <c r="E25" i="51"/>
  <c r="F64" i="64"/>
  <c r="N17" i="71"/>
  <c r="O20" i="33"/>
  <c r="N10" i="83"/>
  <c r="F95" i="44"/>
  <c r="L52" i="36"/>
  <c r="D36" i="41"/>
  <c r="M46" i="34"/>
  <c r="E8" i="65"/>
  <c r="O34" i="78"/>
  <c r="J20" i="56"/>
  <c r="J106" i="27"/>
  <c r="H22" i="92"/>
  <c r="L49" i="62"/>
  <c r="L32" i="40"/>
  <c r="L42" i="34"/>
  <c r="G53" i="81"/>
  <c r="H46" i="25"/>
  <c r="L41" i="60"/>
  <c r="N45" i="62"/>
  <c r="H73" i="47"/>
  <c r="F45" i="66"/>
  <c r="G32" i="61"/>
  <c r="D5" i="87"/>
  <c r="D21" i="52"/>
  <c r="I73" i="61"/>
  <c r="G101" i="56"/>
  <c r="F11" i="62"/>
  <c r="M9" i="54"/>
  <c r="D67" i="60"/>
  <c r="D86" i="63"/>
  <c r="G52" i="36"/>
  <c r="N94" i="44"/>
  <c r="G15" i="56"/>
  <c r="H107" i="63"/>
  <c r="L106" i="58"/>
  <c r="N53" i="86"/>
  <c r="F10" i="35"/>
  <c r="F54" i="59"/>
  <c r="L4" i="92"/>
  <c r="J41" i="72"/>
  <c r="F37" i="66"/>
  <c r="O7" i="48"/>
  <c r="E9" i="49"/>
  <c r="G23" i="74"/>
  <c r="D36" i="65"/>
  <c r="L107" i="81"/>
  <c r="F58" i="35"/>
  <c r="N40" i="19"/>
  <c r="M13" i="59"/>
  <c r="E40" i="89"/>
  <c r="K41" i="84"/>
  <c r="F27" i="29"/>
  <c r="H68" i="56"/>
  <c r="M98" i="46"/>
  <c r="L95" i="19"/>
  <c r="E30" i="84"/>
  <c r="G56" i="60"/>
  <c r="O4" i="25"/>
  <c r="N67" i="77"/>
  <c r="J80" i="74"/>
  <c r="H100" i="76"/>
  <c r="D74" i="93"/>
  <c r="D48" i="35"/>
  <c r="D10" i="85"/>
  <c r="L20" i="93"/>
  <c r="E14" i="67"/>
  <c r="M20" i="26"/>
  <c r="F55" i="69"/>
  <c r="M48" i="90"/>
  <c r="K44" i="77"/>
  <c r="O73" i="51"/>
  <c r="J49" i="60"/>
  <c r="K45" i="72"/>
  <c r="G74" i="86"/>
  <c r="E88" i="94"/>
  <c r="G33" i="65"/>
  <c r="J36" i="51"/>
  <c r="J53" i="54"/>
  <c r="K86" i="41"/>
  <c r="L47" i="48"/>
  <c r="K57" i="54"/>
  <c r="L38" i="87"/>
  <c r="E40" i="29"/>
  <c r="D27" i="62"/>
  <c r="O55" i="29"/>
  <c r="F54" i="51"/>
  <c r="O49" i="43"/>
  <c r="L50" i="38"/>
  <c r="L64" i="58"/>
  <c r="I30" i="65"/>
  <c r="H47" i="82"/>
  <c r="O74" i="56"/>
  <c r="F26" i="54"/>
  <c r="K27" i="84"/>
  <c r="E82" i="39"/>
  <c r="D59" i="26"/>
  <c r="D7" i="58"/>
  <c r="I21" i="43"/>
  <c r="F92" i="75"/>
  <c r="G16" i="74"/>
  <c r="E39" i="45"/>
  <c r="N101" i="56"/>
  <c r="O22" i="44"/>
  <c r="M7" i="83"/>
  <c r="M42" i="74"/>
  <c r="E35" i="69"/>
  <c r="I46" i="46"/>
  <c r="E47" i="29"/>
  <c r="E91" i="89"/>
  <c r="O97" i="65"/>
  <c r="D91" i="51"/>
  <c r="G54" i="32"/>
  <c r="F76" i="38"/>
  <c r="G6" i="83"/>
  <c r="I67" i="63"/>
  <c r="F37" i="81"/>
  <c r="F45" i="25"/>
  <c r="E91" i="67"/>
  <c r="I24" i="64"/>
  <c r="J29" i="93"/>
  <c r="K101" i="60"/>
  <c r="I22" i="34"/>
  <c r="N13" i="90"/>
  <c r="E44" i="40"/>
  <c r="G65" i="72"/>
  <c r="M44" i="47"/>
  <c r="H101" i="59"/>
  <c r="E12" i="36"/>
  <c r="H22" i="30"/>
  <c r="E12" i="57"/>
  <c r="F92" i="51"/>
  <c r="H79" i="45"/>
  <c r="H34" i="50"/>
  <c r="G97" i="82"/>
  <c r="F10" i="34"/>
  <c r="M11" i="43"/>
  <c r="H49" i="83"/>
  <c r="E12" i="59"/>
  <c r="M36" i="47"/>
  <c r="D73" i="80"/>
  <c r="H107" i="85"/>
  <c r="N25" i="86"/>
  <c r="I104" i="84"/>
  <c r="N80" i="40"/>
  <c r="M73" i="46"/>
  <c r="D24" i="82"/>
  <c r="N20" i="77"/>
  <c r="I79" i="55"/>
  <c r="E86" i="30"/>
  <c r="I57" i="78"/>
  <c r="K94" i="94"/>
  <c r="G52" i="70"/>
  <c r="E51" i="86"/>
  <c r="O18" i="35"/>
  <c r="I24" i="46"/>
  <c r="D51" i="84"/>
  <c r="H18" i="78"/>
  <c r="K73" i="45"/>
  <c r="M94" i="72"/>
  <c r="M19" i="91"/>
  <c r="G44" i="71"/>
  <c r="D91" i="32"/>
  <c r="D26" i="87"/>
  <c r="M91" i="70"/>
  <c r="D92" i="78"/>
  <c r="L15" i="22"/>
  <c r="L58" i="39"/>
  <c r="O55" i="89"/>
  <c r="M52" i="90"/>
  <c r="I23" i="58"/>
  <c r="J27" i="39"/>
  <c r="L18" i="69"/>
  <c r="H23" i="67"/>
  <c r="D28" i="80"/>
  <c r="K13"/>
  <c r="G46" i="38"/>
  <c r="H8" i="83"/>
  <c r="E98" i="56"/>
  <c r="K79" i="76"/>
  <c r="L34" i="83"/>
  <c r="M49" i="44"/>
  <c r="L26" i="58"/>
  <c r="D52" i="40"/>
  <c r="M7" i="89"/>
  <c r="CH74" i="3"/>
  <c r="F49" i="72"/>
  <c r="D37" i="44"/>
  <c r="I103" i="65"/>
  <c r="F46" i="63"/>
  <c r="E70" i="50"/>
  <c r="E53" i="65"/>
  <c r="J57" i="26"/>
  <c r="M68" i="93"/>
  <c r="K39" i="49"/>
  <c r="L50" i="33"/>
  <c r="H20" i="84"/>
  <c r="M26" i="30"/>
  <c r="H17" i="32"/>
  <c r="L23" i="48"/>
  <c r="I64" i="82"/>
  <c r="K70" i="81"/>
  <c r="I22" i="35"/>
  <c r="E14" i="78"/>
  <c r="O67" i="72"/>
  <c r="F12" i="67"/>
  <c r="K55" i="44"/>
  <c r="K28" i="83"/>
  <c r="L101" i="93"/>
  <c r="H8" i="67"/>
  <c r="M23" i="78"/>
  <c r="M91" i="29"/>
  <c r="N16" i="80"/>
  <c r="D5" i="46"/>
  <c r="N40" i="44"/>
  <c r="F45" i="38"/>
  <c r="L36" i="66"/>
  <c r="F36" i="30"/>
  <c r="L44" i="49"/>
  <c r="H71" i="60"/>
  <c r="F30" i="80"/>
  <c r="M44" i="25"/>
  <c r="K6" i="73"/>
  <c r="I11" i="63"/>
  <c r="G4" i="30"/>
  <c r="G76" i="70"/>
  <c r="D56" i="38"/>
  <c r="D4" i="78"/>
  <c r="F53" i="45"/>
  <c r="D57" i="61"/>
  <c r="D46" i="45"/>
  <c r="J48" i="63"/>
  <c r="E15" i="32"/>
  <c r="O11" i="62"/>
  <c r="J94" i="29"/>
  <c r="M88" i="41"/>
  <c r="N82" i="73"/>
  <c r="G71" i="49"/>
  <c r="L51" i="51"/>
  <c r="L10" i="19"/>
  <c r="I47" i="58"/>
  <c r="M52" i="71"/>
  <c r="E37" i="80"/>
  <c r="O67" i="94"/>
  <c r="I49" i="51"/>
  <c r="F21" i="66"/>
  <c r="D73" i="44"/>
  <c r="L9" i="47"/>
  <c r="M27" i="53"/>
  <c r="H10" i="68"/>
  <c r="F59" i="82"/>
  <c r="F8" i="79"/>
  <c r="F31" i="38"/>
  <c r="K5" i="58"/>
  <c r="I27" i="85"/>
  <c r="I74" i="57"/>
  <c r="F86" i="71"/>
  <c r="J38" i="64"/>
  <c r="O70" i="34"/>
  <c r="K103" i="94"/>
  <c r="H56" i="74"/>
  <c r="L39" i="46"/>
  <c r="O6" i="68"/>
  <c r="I67" i="45"/>
  <c r="N5" i="27"/>
  <c r="M83" i="71"/>
  <c r="D36" i="77"/>
  <c r="G9" i="72"/>
  <c r="I50" i="92"/>
  <c r="N73" i="87"/>
  <c r="K23" i="19"/>
  <c r="CH45" i="3" s="1"/>
  <c r="L77" i="63"/>
  <c r="H80" i="77"/>
  <c r="O24" i="90"/>
  <c r="F106" i="36"/>
  <c r="H26" i="46"/>
  <c r="I95" i="81"/>
  <c r="M58" i="25"/>
  <c r="D28" i="74"/>
  <c r="H19" i="52"/>
  <c r="N46" i="89"/>
  <c r="N86" i="54"/>
  <c r="N29" i="41"/>
  <c r="E7" i="39"/>
  <c r="J27" i="78"/>
  <c r="K25" i="38"/>
  <c r="D40" i="50"/>
  <c r="H32" i="65"/>
  <c r="L4" i="48"/>
  <c r="F39" i="60"/>
  <c r="D101" i="30"/>
  <c r="D39" i="62"/>
  <c r="D35" i="32"/>
  <c r="G20" i="61"/>
  <c r="I16" i="43"/>
  <c r="CF38" i="3" s="1"/>
  <c r="E13" i="35"/>
  <c r="M86" i="41"/>
  <c r="K33" i="57"/>
  <c r="N9" i="51"/>
  <c r="F28" i="73"/>
  <c r="E43" i="33"/>
  <c r="F37" i="30"/>
  <c r="D33" i="46"/>
  <c r="L51" i="48"/>
  <c r="I77" i="46"/>
  <c r="H42" i="39"/>
  <c r="J25" i="32"/>
  <c r="J59" i="53"/>
  <c r="F56" i="30"/>
  <c r="K83" i="81"/>
  <c r="K32" i="43"/>
  <c r="I34" i="73"/>
  <c r="I39" i="50"/>
  <c r="J44" i="56"/>
  <c r="M73" i="35"/>
  <c r="O50" i="56"/>
  <c r="N104" i="63"/>
  <c r="F50" i="64"/>
  <c r="L11"/>
  <c r="L83" i="58"/>
  <c r="D28" i="93"/>
  <c r="J41" i="30"/>
  <c r="K40" i="63"/>
  <c r="K57" i="76"/>
  <c r="J5" i="69"/>
  <c r="N33" i="86"/>
  <c r="I71" i="25"/>
  <c r="J21" i="38"/>
  <c r="G12" i="91"/>
  <c r="D62" i="51"/>
  <c r="N91" i="36"/>
  <c r="J101" i="64"/>
  <c r="D74" i="52"/>
  <c r="I70" i="93"/>
  <c r="I88" i="64"/>
  <c r="M13" i="80"/>
  <c r="E57" i="65"/>
  <c r="G65" i="40"/>
  <c r="F89" i="27"/>
  <c r="L83" i="48"/>
  <c r="D62" i="19"/>
  <c r="G44" i="94"/>
  <c r="G47"/>
  <c r="L107" i="66"/>
  <c r="J107" i="26"/>
  <c r="E27" i="64"/>
  <c r="D68" i="36"/>
  <c r="D46" i="42"/>
  <c r="N38" i="32"/>
  <c r="L59" i="80"/>
  <c r="L85" i="19"/>
  <c r="H9" i="64"/>
  <c r="J62" i="33"/>
  <c r="G64" i="55"/>
  <c r="H24" i="62"/>
  <c r="G22" i="48"/>
  <c r="K104" i="93"/>
  <c r="J106"/>
  <c r="O104" i="76"/>
  <c r="H49" i="66"/>
  <c r="H33" i="71"/>
  <c r="N79" i="33"/>
  <c r="O107" i="62"/>
  <c r="F26" i="43"/>
  <c r="D40" i="79"/>
  <c r="I74" i="72"/>
  <c r="E37" i="93"/>
  <c r="I7" i="75"/>
  <c r="J88" i="70"/>
  <c r="G23" i="46"/>
  <c r="G86" i="82"/>
  <c r="G67" i="48"/>
  <c r="D14" i="35"/>
  <c r="F67" i="56"/>
  <c r="L106" i="32"/>
  <c r="H6" i="64"/>
  <c r="I30" i="63"/>
  <c r="F27" i="41"/>
  <c r="E73" i="53"/>
  <c r="F27" i="33"/>
  <c r="G107" i="55"/>
  <c r="G106" i="81"/>
  <c r="N5" i="25"/>
  <c r="O107" i="93"/>
  <c r="D92" i="77"/>
  <c r="D46"/>
  <c r="K83" i="51"/>
  <c r="D56" i="81"/>
  <c r="J27" i="49"/>
  <c r="L47" i="67"/>
  <c r="H44" i="47"/>
  <c r="F92" i="50"/>
  <c r="N39" i="89"/>
  <c r="E97" i="25"/>
  <c r="I32" i="82"/>
  <c r="O101" i="47"/>
  <c r="D89" i="74"/>
  <c r="N28" i="90"/>
  <c r="K64" i="19"/>
  <c r="L9" i="72"/>
  <c r="M92" i="71"/>
  <c r="H38" i="42"/>
  <c r="O27" i="69"/>
  <c r="O30" i="78"/>
  <c r="O67" i="86"/>
  <c r="I101" i="56"/>
  <c r="D88" i="19"/>
  <c r="L100" i="58"/>
  <c r="N65" i="87"/>
  <c r="G4" i="42"/>
  <c r="G23" i="77"/>
  <c r="E103" i="63"/>
  <c r="N92" i="41"/>
  <c r="F61" i="56"/>
  <c r="G13" i="80"/>
  <c r="L30" i="35"/>
  <c r="J45" i="43"/>
  <c r="E9" i="78"/>
  <c r="K88" i="76"/>
  <c r="I53" i="62"/>
  <c r="F100" i="30"/>
  <c r="I83" i="57"/>
  <c r="L89" i="47"/>
  <c r="G50" i="81"/>
  <c r="I65" i="43"/>
  <c r="N35" i="66"/>
  <c r="O94" i="67"/>
  <c r="N47" i="40"/>
  <c r="N82" i="80"/>
  <c r="G29" i="67"/>
  <c r="G27" i="25"/>
  <c r="G24" i="30"/>
  <c r="E53" i="34"/>
  <c r="F14" i="66"/>
  <c r="D85" i="69"/>
  <c r="F39" i="70"/>
  <c r="G73" i="55"/>
  <c r="N45" i="92"/>
  <c r="J89" i="43"/>
  <c r="M57" i="75"/>
  <c r="K28" i="84"/>
  <c r="K19" i="74"/>
  <c r="K24" i="35"/>
  <c r="D50" i="32"/>
  <c r="O14" i="62"/>
  <c r="M67" i="82"/>
  <c r="N101" i="25"/>
  <c r="K27" i="32"/>
  <c r="L14" i="51"/>
  <c r="M49" i="62"/>
  <c r="I37" i="60"/>
  <c r="H49" i="65"/>
  <c r="I58" i="87"/>
  <c r="D18"/>
  <c r="E83" i="71"/>
  <c r="K45" i="73"/>
  <c r="O74" i="46"/>
  <c r="I15" i="43"/>
  <c r="I4" i="74"/>
  <c r="M16" i="55"/>
  <c r="M42" i="61"/>
  <c r="G53" i="85"/>
  <c r="I74" i="58"/>
  <c r="K4" i="86"/>
  <c r="L61" i="40"/>
  <c r="H22" i="77"/>
  <c r="N35" i="94"/>
  <c r="G98" i="80"/>
  <c r="O30" i="74"/>
  <c r="I44" i="89"/>
  <c r="I98" i="58"/>
  <c r="I57" i="29"/>
  <c r="F82" i="77"/>
  <c r="J37" i="67"/>
  <c r="O16" i="64"/>
  <c r="H11" i="91"/>
  <c r="N17" i="87"/>
  <c r="L22" i="84"/>
  <c r="K80" i="87"/>
  <c r="O82" i="75"/>
  <c r="H86" i="84"/>
  <c r="I53" i="93"/>
  <c r="O15" i="67"/>
  <c r="L22" i="91"/>
  <c r="N53" i="58"/>
  <c r="I88" i="54"/>
  <c r="CD46" i="3"/>
  <c r="I91" i="71"/>
  <c r="O25" i="57"/>
  <c r="O97" i="76"/>
  <c r="I22" i="75"/>
  <c r="K26" i="51"/>
  <c r="K25" i="90"/>
  <c r="H46" i="36"/>
  <c r="E67" i="66"/>
  <c r="J31" i="62"/>
  <c r="G65" i="71"/>
  <c r="L59" i="62"/>
  <c r="E74" i="50"/>
  <c r="K73" i="55"/>
  <c r="G28" i="89"/>
  <c r="N91" i="47"/>
  <c r="J36" i="86"/>
  <c r="G101" i="36"/>
  <c r="G41" i="32"/>
  <c r="F15" i="92"/>
  <c r="L97" i="40"/>
  <c r="E91" i="55"/>
  <c r="L21" i="46"/>
  <c r="L62" i="64"/>
  <c r="M22" i="75"/>
  <c r="J82" i="48"/>
  <c r="J43" i="73"/>
  <c r="K34" i="55"/>
  <c r="J40" i="76"/>
  <c r="I15" i="79"/>
  <c r="F97" i="94"/>
  <c r="O6" i="70"/>
  <c r="K37" i="65"/>
  <c r="E24" i="73"/>
  <c r="N88" i="93"/>
  <c r="D65" i="46"/>
  <c r="K40" i="38"/>
  <c r="F24" i="54"/>
  <c r="L85" i="38"/>
  <c r="J55" i="58"/>
  <c r="E8" i="75"/>
  <c r="K67" i="76"/>
  <c r="G65" i="54"/>
  <c r="E85" i="78"/>
  <c r="D30" i="80"/>
  <c r="D101" i="62"/>
  <c r="N9" i="87"/>
  <c r="O89" i="49"/>
  <c r="D70" i="76"/>
  <c r="I51" i="80"/>
  <c r="J54" i="27"/>
  <c r="N7" i="83"/>
  <c r="M94" i="89"/>
  <c r="O41" i="43"/>
  <c r="N57" i="35"/>
  <c r="K104" i="90"/>
  <c r="E26" i="19"/>
  <c r="D17" i="39"/>
  <c r="M39" i="60"/>
  <c r="M47" i="49"/>
  <c r="L15" i="34"/>
  <c r="N103" i="90"/>
  <c r="H27" i="19"/>
  <c r="K55" i="55"/>
  <c r="L83" i="59"/>
  <c r="I94" i="83"/>
  <c r="I31" i="34"/>
  <c r="O73" i="81"/>
  <c r="M42" i="45"/>
  <c r="J6" i="84"/>
  <c r="J7" i="41"/>
  <c r="K101" i="32"/>
  <c r="G59" i="61"/>
  <c r="D11" i="63"/>
  <c r="J70" i="87"/>
  <c r="D94" i="81"/>
  <c r="E58" i="44"/>
  <c r="O107" i="58"/>
  <c r="E50" i="80"/>
  <c r="L37" i="64"/>
  <c r="D23" i="19"/>
  <c r="M4" i="53"/>
  <c r="G27" i="86"/>
  <c r="F51" i="19"/>
  <c r="J56" i="34"/>
  <c r="H18" i="45"/>
  <c r="O10" i="92"/>
  <c r="N61" i="74"/>
  <c r="K106" i="30"/>
  <c r="G10" i="57"/>
  <c r="K45" i="90"/>
  <c r="H26" i="87"/>
  <c r="J97" i="67"/>
  <c r="N61" i="66"/>
  <c r="L24" i="29"/>
  <c r="F43" i="27"/>
  <c r="O52" i="69"/>
  <c r="F58" i="52"/>
  <c r="E48" i="51"/>
  <c r="M26" i="55"/>
  <c r="H13" i="91"/>
  <c r="F71" i="69"/>
  <c r="K80" i="32"/>
  <c r="I80" i="52"/>
  <c r="J8" i="86"/>
  <c r="E30" i="40"/>
  <c r="M38" i="82"/>
  <c r="E47" i="61"/>
  <c r="N91" i="90"/>
  <c r="I44" i="87"/>
  <c r="N68" i="43"/>
  <c r="F37" i="83"/>
  <c r="F6" i="33"/>
  <c r="F37" i="57"/>
  <c r="O21" i="78"/>
  <c r="D43" i="62"/>
  <c r="N37" i="89"/>
  <c r="E101" i="64"/>
  <c r="E35" i="77"/>
  <c r="J64" i="54"/>
  <c r="I12" i="76"/>
  <c r="D51" i="62"/>
  <c r="E41" i="30"/>
  <c r="J6" i="67"/>
  <c r="O14" i="38"/>
  <c r="I5" i="61"/>
  <c r="K77" i="84"/>
  <c r="D38" i="66"/>
  <c r="F42" i="62"/>
  <c r="M35" i="49"/>
  <c r="E65" i="40"/>
  <c r="I39"/>
  <c r="N17" i="84"/>
  <c r="H40" i="47"/>
  <c r="G107" i="62"/>
  <c r="L12" i="81"/>
  <c r="J23" i="61"/>
  <c r="K80" i="75"/>
  <c r="G18" i="82"/>
  <c r="F53" i="85"/>
  <c r="M4" i="33"/>
  <c r="N17"/>
  <c r="J76" i="66"/>
  <c r="E80" i="68"/>
  <c r="K16" i="80"/>
  <c r="N65" i="33"/>
  <c r="I57" i="79"/>
  <c r="I94" i="49"/>
  <c r="G98"/>
  <c r="E34" i="65"/>
  <c r="N10" i="75"/>
  <c r="E26" i="61"/>
  <c r="I100" i="66"/>
  <c r="E57" i="79"/>
  <c r="O44" i="40"/>
  <c r="J38" i="67"/>
  <c r="K94" i="71"/>
  <c r="E64" i="87"/>
  <c r="H19" i="69"/>
  <c r="I48" i="42"/>
  <c r="H33" i="60"/>
  <c r="L80" i="90"/>
  <c r="N50" i="27"/>
  <c r="L36" i="45"/>
  <c r="I15" i="36"/>
  <c r="N83" i="30"/>
  <c r="H80" i="63"/>
  <c r="M27" i="73"/>
  <c r="H80" i="45"/>
  <c r="D91" i="87"/>
  <c r="N41" i="62"/>
  <c r="I77" i="57"/>
  <c r="I107" i="29"/>
  <c r="L80" i="58"/>
  <c r="L85" i="78"/>
  <c r="L101" i="41"/>
  <c r="K15" i="67"/>
  <c r="E21" i="61"/>
  <c r="H26" i="85"/>
  <c r="J101" i="48"/>
  <c r="G48" i="94"/>
  <c r="J83" i="55"/>
  <c r="N12" i="51"/>
  <c r="D10" i="61"/>
  <c r="M95" i="75"/>
  <c r="D14" i="64"/>
  <c r="J73" i="69"/>
  <c r="M7" i="39"/>
  <c r="L106" i="92"/>
  <c r="N17" i="38"/>
  <c r="D5" i="60"/>
  <c r="I85" i="67"/>
  <c r="F10" i="60"/>
  <c r="E91" i="72"/>
  <c r="D62" i="34"/>
  <c r="E27" i="81"/>
  <c r="J95" i="44"/>
  <c r="M25" i="92"/>
  <c r="K45" i="54"/>
  <c r="H41" i="39"/>
  <c r="E97" i="84"/>
  <c r="H61" i="87"/>
  <c r="L104"/>
  <c r="I95" i="62"/>
  <c r="I74" i="74"/>
  <c r="M73" i="29"/>
  <c r="K10" i="91"/>
  <c r="H53"/>
  <c r="L49" i="47"/>
  <c r="D17" i="45"/>
  <c r="L27" i="75"/>
  <c r="E100" i="26"/>
  <c r="J8" i="71"/>
  <c r="H25" i="47"/>
  <c r="G17" i="79"/>
  <c r="L95" i="81"/>
  <c r="D30" i="86"/>
  <c r="L18" i="53"/>
  <c r="F80" i="86"/>
  <c r="M83" i="78"/>
  <c r="L106" i="44"/>
  <c r="I29" i="81"/>
  <c r="G101" i="77"/>
  <c r="I4" i="75"/>
  <c r="G49" i="81"/>
  <c r="O52" i="87"/>
  <c r="I97" i="52"/>
  <c r="O49" i="92"/>
  <c r="E35" i="54"/>
  <c r="M8" i="70"/>
  <c r="E65" i="91"/>
  <c r="O55" i="69"/>
  <c r="M8" i="84"/>
  <c r="E77" i="34"/>
  <c r="F8" i="82"/>
  <c r="F54" i="47"/>
  <c r="D41" i="72"/>
  <c r="N103" i="59"/>
  <c r="J49" i="77"/>
  <c r="H67" i="83"/>
  <c r="L58" i="66"/>
  <c r="D15" i="68"/>
  <c r="M27" i="94"/>
  <c r="O42" i="29"/>
  <c r="H40" i="38"/>
  <c r="H71" i="57"/>
  <c r="O42" i="38"/>
  <c r="G16" i="25"/>
  <c r="D45" i="85"/>
  <c r="D48" i="39"/>
  <c r="D52" i="35"/>
  <c r="I59" i="54"/>
  <c r="G10" i="91"/>
  <c r="M92" i="51"/>
  <c r="F28" i="38"/>
  <c r="H14" i="93"/>
  <c r="J65" i="67"/>
  <c r="I9" i="65"/>
  <c r="J92" i="36"/>
  <c r="J27" i="92"/>
  <c r="M100" i="47"/>
  <c r="D51" i="30"/>
  <c r="K13" i="53"/>
  <c r="I98" i="26"/>
  <c r="E16" i="80"/>
  <c r="H19" i="83"/>
  <c r="D21" i="56"/>
  <c r="L27" i="62"/>
  <c r="I31" i="61"/>
  <c r="D61" i="52"/>
  <c r="J4" i="75"/>
  <c r="M77" i="29"/>
  <c r="E17" i="82"/>
  <c r="H29" i="63"/>
  <c r="K64" i="33"/>
  <c r="G104" i="79"/>
  <c r="N40" i="80"/>
  <c r="J34" i="73"/>
  <c r="G25" i="71"/>
  <c r="O11" i="94"/>
  <c r="G67" i="67"/>
  <c r="D9" i="62"/>
  <c r="D17" i="49"/>
  <c r="L106" i="19"/>
  <c r="F45" i="45"/>
  <c r="M19" i="90"/>
  <c r="H91" i="48"/>
  <c r="D6" i="78"/>
  <c r="M55" i="87"/>
  <c r="D7" i="41"/>
  <c r="I80" i="90"/>
  <c r="L59" i="38"/>
  <c r="I7" i="36"/>
  <c r="H21" i="94"/>
  <c r="G35" i="75"/>
  <c r="O53" i="55"/>
  <c r="E34" i="61"/>
  <c r="N89" i="40"/>
  <c r="O44" i="81"/>
  <c r="D68" i="54"/>
  <c r="L97" i="68"/>
  <c r="H20" i="64"/>
  <c r="J89" i="77"/>
  <c r="G71" i="62"/>
  <c r="N11" i="75"/>
  <c r="N70" i="78"/>
  <c r="K27" i="87"/>
  <c r="J33" i="94"/>
  <c r="K59" i="54"/>
  <c r="J58" i="19"/>
  <c r="CG80" i="3" s="1"/>
  <c r="N57" i="53"/>
  <c r="I51" i="66"/>
  <c r="G34" i="71"/>
  <c r="J54" i="50"/>
  <c r="N57" i="90"/>
  <c r="E91" i="80"/>
  <c r="N51" i="33"/>
  <c r="G47" i="50"/>
  <c r="M73" i="83"/>
  <c r="K34" i="27"/>
  <c r="I104" i="35"/>
  <c r="CL45" i="3"/>
  <c r="K47" i="77"/>
  <c r="O17" i="74"/>
  <c r="G92" i="45"/>
  <c r="D26" i="19"/>
  <c r="C18" i="22" s="1"/>
  <c r="D38" i="70"/>
  <c r="M37" i="86"/>
  <c r="D32" i="41"/>
  <c r="D53" i="58"/>
  <c r="D10" i="34"/>
  <c r="O17" i="64"/>
  <c r="D73" i="78"/>
  <c r="E51" i="48"/>
  <c r="N67"/>
  <c r="M82" i="44"/>
  <c r="J57" i="68"/>
  <c r="F52" i="39"/>
  <c r="H33" i="45"/>
  <c r="J83" i="90"/>
  <c r="L47" i="66"/>
  <c r="I10" i="68"/>
  <c r="E32" i="26"/>
  <c r="E103" i="91"/>
  <c r="I83" i="65"/>
  <c r="E98" i="82"/>
  <c r="E89" i="25"/>
  <c r="F97" i="84"/>
  <c r="K46" i="76"/>
  <c r="E6" i="81"/>
  <c r="D98" i="90"/>
  <c r="E67" i="82"/>
  <c r="D30" i="64"/>
  <c r="D80" i="40"/>
  <c r="G80" i="38"/>
  <c r="L51" i="70"/>
  <c r="H40"/>
  <c r="G52" i="47"/>
  <c r="N56" i="35"/>
  <c r="H7" i="19"/>
  <c r="E54" i="71"/>
  <c r="J47" i="44"/>
  <c r="L73" i="29"/>
  <c r="G7" i="50"/>
  <c r="I55" i="36"/>
  <c r="J29" i="68"/>
  <c r="E76" i="83"/>
  <c r="G15" i="87"/>
  <c r="N8" i="62"/>
  <c r="E39" i="35"/>
  <c r="E9" i="60"/>
  <c r="E16" i="61"/>
  <c r="N5" i="41"/>
  <c r="H71" i="33"/>
  <c r="O7" i="94"/>
  <c r="F50" i="90"/>
  <c r="L16" i="32"/>
  <c r="D51" i="73"/>
  <c r="L29" i="61"/>
  <c r="D24" i="25"/>
  <c r="G53" i="87"/>
  <c r="CE43" i="3"/>
  <c r="F57" i="54"/>
  <c r="I46" i="27"/>
  <c r="J43" i="51"/>
  <c r="L29" i="78"/>
  <c r="L55" i="19"/>
  <c r="CI77" i="3" s="1"/>
  <c r="D20" i="35"/>
  <c r="F106" i="66"/>
  <c r="H21" i="53"/>
  <c r="F48" i="83"/>
  <c r="M34" i="67"/>
  <c r="K58" i="36"/>
  <c r="G11" i="81"/>
  <c r="N64" i="45"/>
  <c r="I38" i="27"/>
  <c r="I65" i="92"/>
  <c r="J38"/>
  <c r="N16" i="41"/>
  <c r="O80" i="94"/>
  <c r="M98" i="38"/>
  <c r="O50" i="68"/>
  <c r="N50" i="48"/>
  <c r="I13" i="36"/>
  <c r="G77" i="87"/>
  <c r="O31" i="92"/>
  <c r="M107" i="35"/>
  <c r="G80" i="30"/>
  <c r="M21" i="93"/>
  <c r="CJ69" i="3"/>
  <c r="F31" i="76"/>
  <c r="F11" i="58"/>
  <c r="E92" i="70"/>
  <c r="E82" i="43"/>
  <c r="O89" i="63"/>
  <c r="M7" i="71"/>
  <c r="H39" i="19"/>
  <c r="F16" i="35"/>
  <c r="M20" i="46"/>
  <c r="M29" i="45"/>
  <c r="H74" i="50"/>
  <c r="F39" i="64"/>
  <c r="I59" i="49"/>
  <c r="O85" i="94"/>
  <c r="D104" i="71"/>
  <c r="K56" i="86"/>
  <c r="O52" i="93"/>
  <c r="K77" i="78"/>
  <c r="N91" i="55"/>
  <c r="M37" i="53"/>
  <c r="E55" i="36"/>
  <c r="H36" i="82"/>
  <c r="J47" i="78"/>
  <c r="F71"/>
  <c r="K62" i="44"/>
  <c r="D30" i="76"/>
  <c r="N34" i="92"/>
  <c r="D33" i="83"/>
  <c r="K62" i="27"/>
  <c r="O37" i="48"/>
  <c r="M36" i="60"/>
  <c r="D22" i="76"/>
  <c r="E39" i="90"/>
  <c r="H83" i="40"/>
  <c r="J79" i="32"/>
  <c r="O20" i="66"/>
  <c r="E21" i="81"/>
  <c r="I97" i="30"/>
  <c r="N56" i="74"/>
  <c r="D62" i="86"/>
  <c r="N53" i="36"/>
  <c r="I52" i="39"/>
  <c r="O43" i="78"/>
  <c r="D29" i="36"/>
  <c r="M8" i="66"/>
  <c r="D31" i="91"/>
  <c r="E23" i="86"/>
  <c r="L13" i="78"/>
  <c r="E35" i="81"/>
  <c r="I44" i="74"/>
  <c r="G16" i="30"/>
  <c r="G35" i="65"/>
  <c r="M70" i="93"/>
  <c r="E34" i="45"/>
  <c r="F23" i="34"/>
  <c r="I65" i="70"/>
  <c r="O85" i="49"/>
  <c r="H68" i="66"/>
  <c r="O95" i="83"/>
  <c r="J58" i="51"/>
  <c r="G107" i="83"/>
  <c r="G59" i="79"/>
  <c r="G89" i="44"/>
  <c r="G55" i="66"/>
  <c r="I88" i="85"/>
  <c r="E98" i="84"/>
  <c r="H59" i="43"/>
  <c r="H12" i="35"/>
  <c r="F61" i="69"/>
  <c r="J17" i="67"/>
  <c r="K98" i="75"/>
  <c r="N59" i="94"/>
  <c r="J30" i="62"/>
  <c r="O11" i="60"/>
  <c r="D37" i="93"/>
  <c r="CH29" i="3"/>
  <c r="I62" i="49"/>
  <c r="F48" i="53"/>
  <c r="O36" i="77"/>
  <c r="G50" i="29"/>
  <c r="G50" i="66"/>
  <c r="J55" i="39"/>
  <c r="N106" i="82"/>
  <c r="K103" i="63"/>
  <c r="L83" i="60"/>
  <c r="E100" i="92"/>
  <c r="G36" i="61"/>
  <c r="I61" i="54"/>
  <c r="D107" i="70"/>
  <c r="N31" i="73"/>
  <c r="L14" i="39"/>
  <c r="N34" i="61"/>
  <c r="O82" i="74"/>
  <c r="N9" i="66"/>
  <c r="E23" i="45"/>
  <c r="F92" i="34"/>
  <c r="O48" i="76"/>
  <c r="I29" i="30"/>
  <c r="E14" i="53"/>
  <c r="E23" i="56"/>
  <c r="M20" i="33"/>
  <c r="M19" i="59"/>
  <c r="I50" i="26"/>
  <c r="H46" i="41"/>
  <c r="D4" i="67"/>
  <c r="O7" i="27"/>
  <c r="H50"/>
  <c r="F20" i="51"/>
  <c r="I52" i="36"/>
  <c r="H64" i="19"/>
  <c r="M53" i="66"/>
  <c r="F16" i="84"/>
  <c r="J59" i="67"/>
  <c r="L46" i="39"/>
  <c r="H55" i="51"/>
  <c r="D22" i="75"/>
  <c r="H73" i="94"/>
  <c r="D19" i="83"/>
  <c r="K48" i="45"/>
  <c r="L33" i="80"/>
  <c r="N74" i="87"/>
  <c r="I38" i="56"/>
  <c r="I49" i="86"/>
  <c r="D82" i="70"/>
  <c r="N52" i="47"/>
  <c r="F101" i="53"/>
  <c r="I12" i="41"/>
  <c r="J74" i="35"/>
  <c r="O65" i="41"/>
  <c r="D94" i="29"/>
  <c r="L31" i="67"/>
  <c r="F50" i="68"/>
  <c r="H24" i="43"/>
  <c r="D86" i="86"/>
  <c r="L53" i="93"/>
  <c r="M6" i="92"/>
  <c r="G95" i="81"/>
  <c r="K10" i="49"/>
  <c r="E89" i="43"/>
  <c r="L31" i="19"/>
  <c r="M6" i="73"/>
  <c r="M86" i="93"/>
  <c r="F43" i="81"/>
  <c r="J4" i="48"/>
  <c r="L70" i="59"/>
  <c r="L49" i="90"/>
  <c r="E107" i="94"/>
  <c r="D15" i="43"/>
  <c r="O24" i="92"/>
  <c r="M7" i="45"/>
  <c r="F107" i="55"/>
  <c r="H94" i="72"/>
  <c r="D25" i="60"/>
  <c r="N21" i="43"/>
  <c r="D6" i="76"/>
  <c r="G54" i="61"/>
  <c r="N103" i="87"/>
  <c r="J103" i="81"/>
  <c r="H88" i="44"/>
  <c r="G8" i="59"/>
  <c r="D100" i="77"/>
  <c r="N27" i="94"/>
  <c r="J39" i="83"/>
  <c r="G42" i="89"/>
  <c r="G34" i="86"/>
  <c r="H80" i="82"/>
  <c r="N28" i="33"/>
  <c r="I64" i="75"/>
  <c r="I74" i="53"/>
  <c r="K55" i="69"/>
  <c r="F21" i="73"/>
  <c r="H77" i="61"/>
  <c r="H57" i="83"/>
  <c r="O68" i="51"/>
  <c r="D25" i="79"/>
  <c r="N32" i="57"/>
  <c r="F82" i="19"/>
  <c r="L49" i="30"/>
  <c r="E86" i="50"/>
  <c r="H73" i="84"/>
  <c r="M89" i="62"/>
  <c r="O5" i="19"/>
  <c r="I74" i="89"/>
  <c r="E39" i="82"/>
  <c r="H44" i="50"/>
  <c r="O95" i="66"/>
  <c r="L55" i="93"/>
  <c r="G25" i="33"/>
  <c r="K5" i="66"/>
  <c r="O14" i="48"/>
  <c r="J26" i="57"/>
  <c r="H41" i="90"/>
  <c r="F103" i="91"/>
  <c r="N18" i="82"/>
  <c r="E46" i="47"/>
  <c r="N15" i="61"/>
  <c r="N11"/>
  <c r="H79" i="35"/>
  <c r="E79" i="66"/>
  <c r="D65" i="94"/>
  <c r="F47" i="32"/>
  <c r="E101" i="46"/>
  <c r="L54" i="51"/>
  <c r="K68" i="36"/>
  <c r="I13" i="29"/>
  <c r="H92" i="47"/>
  <c r="H68" i="30"/>
  <c r="E100" i="72"/>
  <c r="O73" i="62"/>
  <c r="J8" i="51"/>
  <c r="I40" i="85"/>
  <c r="L33" i="81"/>
  <c r="K11" i="38"/>
  <c r="K80" i="29"/>
  <c r="I33" i="74"/>
  <c r="E74" i="93"/>
  <c r="H82" i="46"/>
  <c r="F22" i="26"/>
  <c r="E65" i="65"/>
  <c r="D71" i="71"/>
  <c r="I20" i="52"/>
  <c r="N88" i="47"/>
  <c r="N86" i="72"/>
  <c r="I46" i="91"/>
  <c r="G23" i="55"/>
  <c r="N36" i="67"/>
  <c r="D25" i="85"/>
  <c r="G22" i="50"/>
  <c r="N40" i="81"/>
  <c r="I20" i="74"/>
  <c r="N24" i="86"/>
  <c r="L92" i="30"/>
  <c r="G36" i="25"/>
  <c r="O55" i="26"/>
  <c r="F57" i="62"/>
  <c r="E52" i="84"/>
  <c r="N89" i="55"/>
  <c r="M9" i="70"/>
  <c r="K91" i="93"/>
  <c r="G42" i="83"/>
  <c r="D38" i="26"/>
  <c r="D40" i="91"/>
  <c r="D18" i="85"/>
  <c r="F89" i="40"/>
  <c r="O35" i="69"/>
  <c r="L67" i="36"/>
  <c r="K107" i="30"/>
  <c r="J86" i="89"/>
  <c r="O76" i="63"/>
  <c r="H64" i="87"/>
  <c r="O100" i="81"/>
  <c r="O101" i="67"/>
  <c r="O59" i="72"/>
  <c r="L97" i="36"/>
  <c r="J71" i="49"/>
  <c r="D37" i="79"/>
  <c r="J104" i="62"/>
  <c r="K76" i="53"/>
  <c r="D47" i="57"/>
  <c r="O11" i="65"/>
  <c r="H65" i="93"/>
  <c r="D26" i="92"/>
  <c r="J13" i="49"/>
  <c r="M62" i="60"/>
  <c r="H14" i="85"/>
  <c r="M107" i="34"/>
  <c r="I71" i="52"/>
  <c r="J22" i="91"/>
  <c r="M40" i="83"/>
  <c r="K65" i="65"/>
  <c r="H16" i="38"/>
  <c r="H46" i="45"/>
  <c r="M17" i="78"/>
  <c r="G17" i="87"/>
  <c r="K73" i="34"/>
  <c r="J47" i="92"/>
  <c r="I20" i="43"/>
  <c r="M107" i="90"/>
  <c r="I11" i="35"/>
  <c r="D82" i="52"/>
  <c r="L45" i="81"/>
  <c r="O57" i="60"/>
  <c r="J41" i="78"/>
  <c r="J13" i="93"/>
  <c r="M68" i="53"/>
  <c r="L71" i="32"/>
  <c r="N28" i="69"/>
  <c r="D101" i="73"/>
  <c r="M79" i="62"/>
  <c r="O92" i="75"/>
  <c r="H104" i="50"/>
  <c r="L22" i="54"/>
  <c r="D68" i="45"/>
  <c r="G57" i="52"/>
  <c r="G31" i="49"/>
  <c r="I107" i="91"/>
  <c r="D85" i="84"/>
  <c r="F26" i="52"/>
  <c r="N76" i="91"/>
  <c r="O65" i="35"/>
  <c r="M85" i="67"/>
  <c r="M68" i="64"/>
  <c r="G58" i="36"/>
  <c r="E103" i="52"/>
  <c r="F79" i="48"/>
  <c r="L89" i="33"/>
  <c r="O16" i="45"/>
  <c r="N36" i="81"/>
  <c r="L17" i="89"/>
  <c r="G106" i="29"/>
  <c r="F38" i="45"/>
  <c r="L62" i="91"/>
  <c r="J89" i="74"/>
  <c r="H23" i="62"/>
  <c r="J15" i="59"/>
  <c r="H24" i="26"/>
  <c r="J88" i="76"/>
  <c r="F45" i="30"/>
  <c r="H39" i="90"/>
  <c r="I21" i="76"/>
  <c r="K12" i="38"/>
  <c r="D9" i="58"/>
  <c r="H43" i="49"/>
  <c r="J38" i="47"/>
  <c r="E7" i="89"/>
  <c r="L65" i="72"/>
  <c r="H88" i="36"/>
  <c r="M5" i="51"/>
  <c r="N41" i="94"/>
  <c r="N103" i="81"/>
  <c r="I10" i="26"/>
  <c r="M73" i="90"/>
  <c r="L73" i="70"/>
  <c r="E4" i="91"/>
  <c r="D103" i="54"/>
  <c r="D41" i="81"/>
  <c r="C34" i="22"/>
  <c r="D25"/>
  <c r="M101" i="57"/>
  <c r="G36" i="30"/>
  <c r="E64" i="70"/>
  <c r="G77" i="55"/>
  <c r="J94" i="44"/>
  <c r="N106" i="93"/>
  <c r="E13" i="82"/>
  <c r="M85" i="71"/>
  <c r="K92" i="67"/>
  <c r="E15" i="80"/>
  <c r="G15" i="94"/>
  <c r="H86" i="53"/>
  <c r="J22" i="94"/>
  <c r="D5" i="65"/>
  <c r="K39" i="84"/>
  <c r="I77" i="74"/>
  <c r="H35" i="80"/>
  <c r="M45" i="63"/>
  <c r="F79" i="83"/>
  <c r="L26" i="46"/>
  <c r="L4" i="84"/>
  <c r="O17" i="71"/>
  <c r="M71" i="91"/>
  <c r="D31" i="93"/>
  <c r="L21" i="71"/>
  <c r="O20" i="89"/>
  <c r="H68" i="54"/>
  <c r="O107" i="81"/>
  <c r="J64" i="84"/>
  <c r="H25" i="35"/>
  <c r="K49" i="62"/>
  <c r="M18" i="82"/>
  <c r="I42" i="68"/>
  <c r="J41" i="33"/>
  <c r="J21" i="87"/>
  <c r="M74" i="34"/>
  <c r="L70" i="90"/>
  <c r="M39" i="76"/>
  <c r="E56" i="66"/>
  <c r="I29" i="68"/>
  <c r="J68" i="56"/>
  <c r="L71" i="64"/>
  <c r="I32" i="74"/>
  <c r="L65" i="91"/>
  <c r="F82" i="40"/>
  <c r="N13" i="19"/>
  <c r="K51" i="61"/>
  <c r="O34" i="82"/>
  <c r="M16" i="92"/>
  <c r="O39" i="67"/>
  <c r="H95" i="76"/>
  <c r="J91" i="71"/>
  <c r="H53" i="30"/>
  <c r="L41" i="63"/>
  <c r="N95" i="32"/>
  <c r="J26" i="39"/>
  <c r="D79" i="36"/>
  <c r="I71" i="51"/>
  <c r="N80" i="54"/>
  <c r="N56" i="73"/>
  <c r="CI70" i="3"/>
  <c r="O18" i="87"/>
  <c r="J24" i="92"/>
  <c r="D23" i="43"/>
  <c r="D101" i="44"/>
  <c r="F21" i="27"/>
  <c r="J65" i="55"/>
  <c r="F44" i="42"/>
  <c r="K100" i="90"/>
  <c r="D19" i="26"/>
  <c r="M25" i="76"/>
  <c r="D6" i="22"/>
  <c r="F46" i="50"/>
  <c r="E40" i="85"/>
  <c r="F21" i="89"/>
  <c r="O26" i="90"/>
  <c r="F35" i="40"/>
  <c r="G71" i="65"/>
  <c r="O58" i="40"/>
  <c r="L107" i="78"/>
  <c r="I54" i="33"/>
  <c r="J14" i="73"/>
  <c r="K68" i="35"/>
  <c r="O37" i="62"/>
  <c r="D85" i="45"/>
  <c r="M79"/>
  <c r="J26" i="35"/>
  <c r="L49" i="74"/>
  <c r="E85" i="80"/>
  <c r="N24" i="94"/>
  <c r="G64" i="79"/>
  <c r="G79" i="73"/>
  <c r="H57" i="32"/>
  <c r="H64" i="26"/>
  <c r="M27" i="72"/>
  <c r="N20" i="27"/>
  <c r="I91" i="26"/>
  <c r="O46" i="40"/>
  <c r="L49" i="35"/>
  <c r="O22" i="90"/>
  <c r="E56" i="87"/>
  <c r="H12" i="63"/>
  <c r="M38" i="65"/>
  <c r="E55" i="46"/>
  <c r="M37" i="73"/>
  <c r="CI64" i="3"/>
  <c r="I9" i="47"/>
  <c r="H91" i="74"/>
  <c r="M50" i="77"/>
  <c r="I85" i="74"/>
  <c r="I27" i="41"/>
  <c r="D95" i="65"/>
  <c r="G30" i="32"/>
  <c r="K54" i="26"/>
  <c r="O82" i="33"/>
  <c r="J92" i="46"/>
  <c r="G38" i="34"/>
  <c r="J59" i="36"/>
  <c r="J62" i="90"/>
  <c r="H61" i="45"/>
  <c r="M12" i="35"/>
  <c r="F14" i="34"/>
  <c r="H100" i="82"/>
  <c r="K38" i="35"/>
  <c r="J34" i="90"/>
  <c r="K14" i="82"/>
  <c r="K15" i="77"/>
  <c r="K6" i="47"/>
  <c r="J56" i="64"/>
  <c r="N88" i="61"/>
  <c r="O36" i="66"/>
  <c r="M43" i="72"/>
  <c r="M42" i="43"/>
  <c r="J52" i="82"/>
  <c r="E6" i="47"/>
  <c r="L76" i="34"/>
  <c r="G100" i="51"/>
  <c r="N28" i="91"/>
  <c r="F97" i="80"/>
  <c r="M5" i="27"/>
  <c r="J31" i="72"/>
  <c r="D15" i="51"/>
  <c r="E24" i="61"/>
  <c r="K44" i="72"/>
  <c r="I40" i="83"/>
  <c r="G97" i="81"/>
  <c r="I52" i="49"/>
  <c r="O26" i="74"/>
  <c r="G89" i="57"/>
  <c r="N16" i="27"/>
  <c r="O48" i="59"/>
  <c r="I4" i="51"/>
  <c r="E14" i="42"/>
  <c r="L58" i="57"/>
  <c r="J73" i="70"/>
  <c r="N104" i="68"/>
  <c r="I46" i="57"/>
  <c r="F55" i="67"/>
  <c r="M46" i="30"/>
  <c r="L97" i="59"/>
  <c r="L6" i="74"/>
  <c r="G12" i="70"/>
  <c r="J55" i="65"/>
  <c r="O44" i="30"/>
  <c r="K79" i="60"/>
  <c r="J5" i="43"/>
  <c r="K80" i="83"/>
  <c r="J9" i="84"/>
  <c r="L106" i="74"/>
  <c r="E77" i="91"/>
  <c r="N97" i="94"/>
  <c r="D20" i="61"/>
  <c r="F79" i="58"/>
  <c r="F106" i="90"/>
  <c r="F10" i="59"/>
  <c r="H16" i="54"/>
  <c r="G103" i="59"/>
  <c r="O32" i="39"/>
  <c r="G30" i="19"/>
  <c r="N74" i="73"/>
  <c r="D18" i="82"/>
  <c r="L103" i="91"/>
  <c r="O76" i="38"/>
  <c r="M62"/>
  <c r="F15" i="66"/>
  <c r="J50" i="81"/>
  <c r="D43" i="38"/>
  <c r="H40" i="54"/>
  <c r="M50" i="56"/>
  <c r="D95" i="48"/>
  <c r="H91" i="86"/>
  <c r="L45" i="68"/>
  <c r="E28" i="78"/>
  <c r="N94" i="55"/>
  <c r="I16" i="54"/>
  <c r="L94" i="71"/>
  <c r="O18" i="59"/>
  <c r="I57" i="26"/>
  <c r="L45" i="47"/>
  <c r="M9" i="41"/>
  <c r="E20" i="44"/>
  <c r="M43" i="87"/>
  <c r="N65" i="90"/>
  <c r="K70" i="74"/>
  <c r="O94" i="80"/>
  <c r="E74" i="82"/>
  <c r="O24" i="72"/>
  <c r="N22" i="92"/>
  <c r="L28" i="29"/>
  <c r="D10" i="46"/>
  <c r="D33" i="62"/>
  <c r="M103" i="66"/>
  <c r="O86" i="19"/>
  <c r="F10" i="73"/>
  <c r="M64" i="55"/>
  <c r="K37" i="70"/>
  <c r="J6" i="32"/>
  <c r="E76" i="90"/>
  <c r="K50" i="68"/>
  <c r="N43" i="83"/>
  <c r="CJ66" i="3"/>
  <c r="I55" i="57"/>
  <c r="H25" i="50"/>
  <c r="L74" i="34"/>
  <c r="D50" i="85"/>
  <c r="L54" i="33"/>
  <c r="J43" i="75"/>
  <c r="K16" i="25"/>
  <c r="F38" i="48"/>
  <c r="O82" i="68"/>
  <c r="M12"/>
  <c r="O11" i="72"/>
  <c r="E73" i="51"/>
  <c r="E46" i="78"/>
  <c r="F10" i="26"/>
  <c r="H68" i="78"/>
  <c r="H82" i="83"/>
  <c r="L31" i="49"/>
  <c r="K14" i="60"/>
  <c r="G80" i="78"/>
  <c r="J18" i="80"/>
  <c r="G68" i="32"/>
  <c r="G33" i="40"/>
  <c r="D17" i="34"/>
  <c r="E73" i="77"/>
  <c r="D37" i="33"/>
  <c r="D23" i="27"/>
  <c r="F52" i="46"/>
  <c r="I51" i="90"/>
  <c r="K100" i="29"/>
  <c r="H10" i="58"/>
  <c r="D100" i="76"/>
  <c r="E49" i="52"/>
  <c r="H85" i="48"/>
  <c r="M52" i="81"/>
  <c r="H77" i="44"/>
  <c r="L80" i="78"/>
  <c r="J79" i="25"/>
  <c r="I13" i="44"/>
  <c r="J73" i="46"/>
  <c r="E39" i="33"/>
  <c r="H45" i="81"/>
  <c r="L21" i="76"/>
  <c r="E33" i="33"/>
  <c r="O52" i="56"/>
  <c r="H92" i="61"/>
  <c r="M18" i="63"/>
  <c r="L4" i="60"/>
  <c r="E80" i="90"/>
  <c r="I77" i="69"/>
  <c r="J18" i="36"/>
  <c r="K94" i="91"/>
  <c r="F31" i="43"/>
  <c r="M106" i="63"/>
  <c r="D101" i="76"/>
  <c r="E4" i="84"/>
  <c r="D50" i="62"/>
  <c r="J95" i="33"/>
  <c r="L35" i="92"/>
  <c r="K33" i="64"/>
  <c r="L20" i="45"/>
  <c r="H39" i="52"/>
  <c r="G77" i="81"/>
  <c r="M44" i="65"/>
  <c r="N44" i="48"/>
  <c r="I9" i="61"/>
  <c r="J19" i="57"/>
  <c r="CJ81" i="3"/>
  <c r="F21" i="34"/>
  <c r="G51" i="30"/>
  <c r="F47" i="51"/>
  <c r="D92" i="74"/>
  <c r="H31" i="90"/>
  <c r="H101" i="40"/>
  <c r="M9" i="87"/>
  <c r="O30" i="55"/>
  <c r="G91" i="19"/>
  <c r="E19" i="39"/>
  <c r="M98" i="55"/>
  <c r="D33" i="92"/>
  <c r="J79" i="73"/>
  <c r="E47" i="94"/>
  <c r="H33" i="85"/>
  <c r="O23" i="93"/>
  <c r="N37" i="63"/>
  <c r="D83" i="67"/>
  <c r="L20" i="48"/>
  <c r="F36" i="51"/>
  <c r="H16" i="68"/>
  <c r="J67" i="53"/>
  <c r="H13" i="51"/>
  <c r="H97" i="92"/>
  <c r="N80" i="89"/>
  <c r="L15" i="92"/>
  <c r="H55" i="71"/>
  <c r="E56" i="62"/>
  <c r="M103" i="67"/>
  <c r="G107" i="76"/>
  <c r="J83" i="49"/>
  <c r="E86" i="84"/>
  <c r="M53" i="69"/>
  <c r="E42" i="42"/>
  <c r="L32" i="82"/>
  <c r="D61" i="30"/>
  <c r="N86" i="43"/>
  <c r="O49" i="57"/>
  <c r="N11" i="81"/>
  <c r="K40" i="92"/>
  <c r="N98" i="86"/>
  <c r="O32" i="67"/>
  <c r="J92" i="90"/>
  <c r="L32" i="68"/>
  <c r="L9" i="51"/>
  <c r="I9"/>
  <c r="H103" i="64"/>
  <c r="H67" i="62"/>
  <c r="D4" i="26"/>
  <c r="M107" i="19"/>
  <c r="M27" i="86"/>
  <c r="M20" i="68"/>
  <c r="L12" i="38"/>
  <c r="L38" i="51"/>
  <c r="F73" i="40"/>
  <c r="F86" i="90"/>
  <c r="I56" i="94"/>
  <c r="L30" i="74"/>
  <c r="K52" i="72"/>
  <c r="I104" i="62"/>
  <c r="D88" i="41"/>
  <c r="G34" i="79"/>
  <c r="I46" i="56"/>
  <c r="K64" i="86"/>
  <c r="O80" i="63"/>
  <c r="G95" i="68"/>
  <c r="H23" i="72"/>
  <c r="H68" i="92"/>
  <c r="D37" i="34"/>
  <c r="M39" i="92"/>
  <c r="O46" i="33"/>
  <c r="O4" i="55"/>
  <c r="J62" i="61"/>
  <c r="H17" i="87"/>
  <c r="G27" i="83"/>
  <c r="J100" i="39"/>
  <c r="L40" i="78"/>
  <c r="E97" i="58"/>
  <c r="K37" i="74"/>
  <c r="M92" i="81"/>
  <c r="M20" i="65"/>
  <c r="E104" i="60"/>
  <c r="L16" i="72"/>
  <c r="O35" i="68"/>
  <c r="F20" i="93"/>
  <c r="J104" i="30"/>
  <c r="G101" i="43"/>
  <c r="N100" i="48"/>
  <c r="H74" i="51"/>
  <c r="M15" i="86"/>
  <c r="I21" i="62"/>
  <c r="E37" i="33"/>
  <c r="F33" i="79"/>
  <c r="F21" i="50"/>
  <c r="E46" i="87"/>
  <c r="G43" i="76"/>
  <c r="O95" i="54"/>
  <c r="F14" i="59"/>
  <c r="H45" i="35"/>
  <c r="H98" i="58"/>
  <c r="J23" i="53"/>
  <c r="E36" i="51"/>
  <c r="J12" i="66"/>
  <c r="L94"/>
  <c r="J12" i="78"/>
  <c r="E70" i="46"/>
  <c r="I80" i="74"/>
  <c r="L29" i="47"/>
  <c r="F16" i="30"/>
  <c r="G35" i="83"/>
  <c r="L71" i="65"/>
  <c r="H21" i="41"/>
  <c r="E74" i="61"/>
  <c r="H53" i="47"/>
  <c r="M24" i="73"/>
  <c r="E92" i="54"/>
  <c r="J6" i="30"/>
  <c r="F62" i="86"/>
  <c r="E92" i="66"/>
  <c r="E10" i="82"/>
  <c r="N15" i="53"/>
  <c r="L91" i="44"/>
  <c r="H37" i="62"/>
  <c r="O64" i="57"/>
  <c r="O98" i="92"/>
  <c r="G106" i="56"/>
  <c r="L36" i="74"/>
  <c r="F35" i="25"/>
  <c r="N5" i="49"/>
  <c r="E53" i="71"/>
  <c r="F34" i="41"/>
  <c r="M95" i="38"/>
  <c r="H43" i="43"/>
  <c r="M20" i="41"/>
  <c r="O21" i="66"/>
  <c r="O21" i="32"/>
  <c r="D24" i="42"/>
  <c r="H42" i="90"/>
  <c r="N36" i="57"/>
  <c r="K33" i="49"/>
  <c r="I103" i="48"/>
  <c r="D23" i="70"/>
  <c r="N104" i="66"/>
  <c r="M49"/>
  <c r="F36" i="92"/>
  <c r="N14" i="83"/>
  <c r="F64" i="85"/>
  <c r="G45" i="92"/>
  <c r="N74" i="75"/>
  <c r="N56" i="76"/>
  <c r="N58" i="82"/>
  <c r="L92" i="67"/>
  <c r="I7" i="79"/>
  <c r="H74" i="66"/>
  <c r="E76" i="19"/>
  <c r="K52" i="93"/>
  <c r="M27" i="35"/>
  <c r="H79" i="41"/>
  <c r="J95" i="53"/>
  <c r="D86" i="81"/>
  <c r="I18" i="72"/>
  <c r="H28" i="48"/>
  <c r="I8" i="65"/>
  <c r="K19" i="91"/>
  <c r="G98" i="69"/>
  <c r="N89" i="74"/>
  <c r="J37" i="65"/>
  <c r="D61" i="68"/>
  <c r="D83" i="83"/>
  <c r="J88" i="63"/>
  <c r="I65" i="86"/>
  <c r="D67" i="89"/>
  <c r="H38" i="61"/>
  <c r="L48" i="76"/>
  <c r="H47" i="41"/>
  <c r="L4" i="64"/>
  <c r="H6" i="86"/>
  <c r="L6" i="66"/>
  <c r="K41"/>
  <c r="H71" i="50"/>
  <c r="O19" i="39"/>
  <c r="I17" i="63"/>
  <c r="G57" i="36"/>
  <c r="F52" i="40"/>
  <c r="H13" i="69"/>
  <c r="K39" i="89"/>
  <c r="D37" i="63"/>
  <c r="K79" i="39"/>
  <c r="H26"/>
  <c r="N25" i="68"/>
  <c r="K91" i="80"/>
  <c r="J86"/>
  <c r="L21" i="91"/>
  <c r="M61" i="59"/>
  <c r="E28" i="49"/>
  <c r="N45" i="71"/>
  <c r="K53" i="78"/>
  <c r="K35" i="59"/>
  <c r="O62" i="26"/>
  <c r="J104" i="90"/>
  <c r="G62" i="55"/>
  <c r="H23" i="40"/>
  <c r="L74" i="29"/>
  <c r="D76"/>
  <c r="G50" i="54"/>
  <c r="O65" i="56"/>
  <c r="L64" i="90"/>
  <c r="G73" i="27"/>
  <c r="E42" i="19"/>
  <c r="O21" i="33"/>
  <c r="L91" i="25"/>
  <c r="I24" i="73"/>
  <c r="J41" i="27"/>
  <c r="I38" i="30"/>
  <c r="H74" i="58"/>
  <c r="F79" i="41"/>
  <c r="I94" i="30"/>
  <c r="G104" i="87"/>
  <c r="G35" i="25"/>
  <c r="CA76" i="3"/>
  <c r="L33" i="30"/>
  <c r="H33" i="83"/>
  <c r="N48" i="91"/>
  <c r="I48" i="60"/>
  <c r="O70" i="89"/>
  <c r="N73" i="76"/>
  <c r="O4"/>
  <c r="O34" i="64"/>
  <c r="O89" i="26"/>
  <c r="E101" i="93"/>
  <c r="E21" i="48"/>
  <c r="D70" i="94"/>
  <c r="M35" i="75"/>
  <c r="E28" i="27"/>
  <c r="D70" i="50"/>
  <c r="G97" i="80"/>
  <c r="H56" i="27"/>
  <c r="D18" i="51"/>
  <c r="L71" i="53"/>
  <c r="M39" i="58"/>
  <c r="I24" i="50"/>
  <c r="L46" i="75"/>
  <c r="H10" i="65"/>
  <c r="O42" i="59"/>
  <c r="J9" i="35"/>
  <c r="H23"/>
  <c r="I103" i="58"/>
  <c r="E36" i="47"/>
  <c r="E71" i="53"/>
  <c r="F83"/>
  <c r="I40" i="58"/>
  <c r="D40" i="67"/>
  <c r="E41" i="61"/>
  <c r="M47" i="30"/>
  <c r="F49" i="51"/>
  <c r="K57" i="48"/>
  <c r="N29" i="90"/>
  <c r="G15" i="66"/>
  <c r="J89" i="57"/>
  <c r="M7" i="64"/>
  <c r="I107" i="79"/>
  <c r="M83" i="51"/>
  <c r="H47" i="59"/>
  <c r="K55" i="72"/>
  <c r="N50" i="44"/>
  <c r="F33" i="93"/>
  <c r="D68" i="61"/>
  <c r="J27" i="94"/>
  <c r="E89" i="68"/>
  <c r="J92" i="26"/>
  <c r="G15" i="46"/>
  <c r="G58" i="70"/>
  <c r="O9" i="57"/>
  <c r="D58" i="83"/>
  <c r="J58" i="72"/>
  <c r="M47" i="78"/>
  <c r="K54" i="57"/>
  <c r="O16" i="55"/>
  <c r="J48" i="41"/>
  <c r="K67" i="19"/>
  <c r="G73" i="84"/>
  <c r="J42" i="71"/>
  <c r="F24"/>
  <c r="K80" i="67"/>
  <c r="M35" i="94"/>
  <c r="H97" i="84"/>
  <c r="H67" i="91"/>
  <c r="F82" i="32"/>
  <c r="E92" i="43"/>
  <c r="E52" i="63"/>
  <c r="F37" i="49"/>
  <c r="N68" i="72"/>
  <c r="G42" i="76"/>
  <c r="H79" i="60"/>
  <c r="M83" i="67"/>
  <c r="F12" i="63"/>
  <c r="O37" i="58"/>
  <c r="E103" i="34"/>
  <c r="L21" i="94"/>
  <c r="M70" i="32"/>
  <c r="D68" i="38"/>
  <c r="O92" i="81"/>
  <c r="I57" i="80"/>
  <c r="D103" i="40"/>
  <c r="D8" i="69"/>
  <c r="O38" i="63"/>
  <c r="H5" i="44"/>
  <c r="F25" i="56"/>
  <c r="D50" i="29"/>
  <c r="F12" i="69"/>
  <c r="K49" i="71"/>
  <c r="L4" i="66"/>
  <c r="F46" i="53"/>
  <c r="H22" i="52"/>
  <c r="N4" i="44"/>
  <c r="G9" i="40"/>
  <c r="G50" i="45"/>
  <c r="I53" i="78"/>
  <c r="K37" i="90"/>
  <c r="CK34" i="3"/>
  <c r="L64" i="43"/>
  <c r="CC64" i="3"/>
  <c r="K15" i="22"/>
  <c r="E76" i="81"/>
  <c r="L29" i="63"/>
  <c r="L12" i="62"/>
  <c r="J21" i="68"/>
  <c r="G15" i="60"/>
  <c r="D49" i="89"/>
  <c r="H23" i="55"/>
  <c r="O34" i="25"/>
  <c r="N32" i="54"/>
  <c r="H25" i="78"/>
  <c r="O83" i="77"/>
  <c r="N74" i="91"/>
  <c r="F64" i="29"/>
  <c r="L38" i="90"/>
  <c r="O17" i="81"/>
  <c r="H80" i="75"/>
  <c r="D32" i="79"/>
  <c r="O79" i="35"/>
  <c r="G64" i="52"/>
  <c r="G77" i="41"/>
  <c r="L19" i="19"/>
  <c r="J9" i="61"/>
  <c r="I24" i="66"/>
  <c r="O80" i="84"/>
  <c r="H37" i="52"/>
  <c r="I58" i="62"/>
  <c r="J44" i="94"/>
  <c r="I28" i="40"/>
  <c r="K39" i="75"/>
  <c r="J16" i="40"/>
  <c r="M29" i="93"/>
  <c r="G83" i="27"/>
  <c r="J76" i="25"/>
  <c r="O48" i="74"/>
  <c r="L18" i="75"/>
  <c r="E46" i="71"/>
  <c r="F101" i="32"/>
  <c r="F14" i="36"/>
  <c r="N50" i="60"/>
  <c r="D98" i="55"/>
  <c r="CH38" i="3"/>
  <c r="D32" i="73"/>
  <c r="J42" i="72"/>
  <c r="K21" i="59"/>
  <c r="O95" i="27"/>
  <c r="G100" i="52"/>
  <c r="M71" i="49"/>
  <c r="D37" i="46"/>
  <c r="H44" i="52"/>
  <c r="O44" i="61"/>
  <c r="H83" i="35"/>
  <c r="K86" i="36"/>
  <c r="M13" i="76"/>
  <c r="M28" i="34"/>
  <c r="O53" i="27"/>
  <c r="D73" i="57"/>
  <c r="N104" i="30"/>
  <c r="D48" i="86"/>
  <c r="F59" i="79"/>
  <c r="L56" i="70"/>
  <c r="N44" i="66"/>
  <c r="M22" i="80"/>
  <c r="J57" i="43"/>
  <c r="D89" i="78"/>
  <c r="N62" i="30"/>
  <c r="L36" i="93"/>
  <c r="D89" i="61"/>
  <c r="M71" i="44"/>
  <c r="M21" i="51"/>
  <c r="I37" i="92"/>
  <c r="E18" i="34"/>
  <c r="M79" i="81"/>
  <c r="F49" i="45"/>
  <c r="G106" i="54"/>
  <c r="N8" i="48"/>
  <c r="E86" i="33"/>
  <c r="G101" i="66"/>
  <c r="E30" i="51"/>
  <c r="E59" i="57"/>
  <c r="D31" i="85"/>
  <c r="O28" i="19"/>
  <c r="N8" i="65"/>
  <c r="L23" i="67"/>
  <c r="H61"/>
  <c r="F43" i="52"/>
  <c r="H94" i="55"/>
  <c r="I95" i="94"/>
  <c r="M14" i="41"/>
  <c r="N7" i="40"/>
  <c r="L27" i="64"/>
  <c r="H45" i="32"/>
  <c r="F101" i="92"/>
  <c r="I38" i="71"/>
  <c r="D85" i="83"/>
  <c r="K31" i="56"/>
  <c r="D71" i="83"/>
  <c r="O53" i="26"/>
  <c r="H101" i="47"/>
  <c r="M35" i="43"/>
  <c r="J48" i="34"/>
  <c r="G86" i="26"/>
  <c r="J92" i="27"/>
  <c r="G50" i="64"/>
  <c r="I71" i="87"/>
  <c r="G91" i="33"/>
  <c r="F39" i="91"/>
  <c r="O11" i="92"/>
  <c r="M50" i="83"/>
  <c r="K70" i="91"/>
  <c r="N50" i="81"/>
  <c r="D73" i="46"/>
  <c r="M6" i="87"/>
  <c r="N74" i="74"/>
  <c r="F47" i="36"/>
  <c r="L32" i="44"/>
  <c r="I39" i="19"/>
  <c r="E59" i="77"/>
  <c r="CB61" i="3"/>
  <c r="E82" i="65"/>
  <c r="G89" i="73"/>
  <c r="F80" i="84"/>
  <c r="L68" i="60"/>
  <c r="I43" i="56"/>
  <c r="G24" i="83"/>
  <c r="D97" i="54"/>
  <c r="I91" i="36"/>
  <c r="J40" i="49"/>
  <c r="N98" i="57"/>
  <c r="F103" i="66"/>
  <c r="J71" i="56"/>
  <c r="I97" i="69"/>
  <c r="E8" i="80"/>
  <c r="F39" i="40"/>
  <c r="I11" i="93"/>
  <c r="H65" i="89"/>
  <c r="O42" i="62"/>
  <c r="N39" i="25"/>
  <c r="E59" i="79"/>
  <c r="K74" i="63"/>
  <c r="F92" i="71"/>
  <c r="E104" i="94"/>
  <c r="J17" i="58"/>
  <c r="M19" i="72"/>
  <c r="L61" i="51"/>
  <c r="F68" i="60"/>
  <c r="N15" i="34"/>
  <c r="H89" i="90"/>
  <c r="G33" i="26"/>
  <c r="D71" i="76"/>
  <c r="O71" i="83"/>
  <c r="K101" i="27"/>
  <c r="E52" i="40"/>
  <c r="H42" i="92"/>
  <c r="J58" i="93"/>
  <c r="K71" i="40"/>
  <c r="K4" i="80"/>
  <c r="I9" i="49"/>
  <c r="D59" i="69"/>
  <c r="L54" i="75"/>
  <c r="D12" i="27"/>
  <c r="G58" i="60"/>
  <c r="K104" i="65"/>
  <c r="H104" i="68"/>
  <c r="E85" i="33"/>
  <c r="N18" i="19"/>
  <c r="M65" i="35"/>
  <c r="F4" i="44"/>
  <c r="H79" i="85"/>
  <c r="K89" i="93"/>
  <c r="D39" i="75"/>
  <c r="O36" i="25"/>
  <c r="K83" i="41"/>
  <c r="G86" i="57"/>
  <c r="F80" i="71"/>
  <c r="G59" i="78"/>
  <c r="N59" i="91"/>
  <c r="K18" i="33"/>
  <c r="L26" i="84"/>
  <c r="N77" i="35"/>
  <c r="H19" i="84"/>
  <c r="E68" i="51"/>
  <c r="F36" i="94"/>
  <c r="J11" i="84"/>
  <c r="M76" i="78"/>
  <c r="N15" i="44"/>
  <c r="D47" i="55"/>
  <c r="G80" i="27"/>
  <c r="F104" i="84"/>
  <c r="E25" i="38"/>
  <c r="F107" i="60"/>
  <c r="O23" i="27"/>
  <c r="H26" i="55"/>
  <c r="J16" i="70"/>
  <c r="M27" i="87"/>
  <c r="L31" i="59"/>
  <c r="G88" i="34"/>
  <c r="H9" i="26"/>
  <c r="M32"/>
  <c r="I12" i="55"/>
  <c r="CA47" i="3"/>
  <c r="F82" i="82"/>
  <c r="E106" i="59"/>
  <c r="M54" i="64"/>
  <c r="N97" i="46"/>
  <c r="G59" i="72"/>
  <c r="M54" i="35"/>
  <c r="L50" i="65"/>
  <c r="K50" i="82"/>
  <c r="J33" i="69"/>
  <c r="H47" i="56"/>
  <c r="N83" i="45"/>
  <c r="H52" i="26"/>
  <c r="K19" i="34"/>
  <c r="D22"/>
  <c r="G35" i="86"/>
  <c r="O86" i="57"/>
  <c r="F53" i="82"/>
  <c r="D13" i="40"/>
  <c r="K11" i="45"/>
  <c r="H14" i="73"/>
  <c r="G83" i="75"/>
  <c r="K54" i="66"/>
  <c r="F56" i="53"/>
  <c r="N53" i="72"/>
  <c r="E45" i="80"/>
  <c r="N38" i="90"/>
  <c r="K39" i="71"/>
  <c r="L101" i="53"/>
  <c r="G19" i="85"/>
  <c r="L100" i="43"/>
  <c r="E42" i="50"/>
  <c r="K12" i="54"/>
  <c r="I64" i="83"/>
  <c r="J103"/>
  <c r="F100" i="85"/>
  <c r="G85" i="33"/>
  <c r="O39" i="39"/>
  <c r="K13" i="33"/>
  <c r="F5" i="68"/>
  <c r="N67" i="73"/>
  <c r="I74" i="64"/>
  <c r="G83" i="62"/>
  <c r="O92" i="57"/>
  <c r="I23" i="48"/>
  <c r="D47" i="49"/>
  <c r="L86" i="32"/>
  <c r="F68" i="79"/>
  <c r="E24" i="63"/>
  <c r="M67" i="44"/>
  <c r="J106" i="49"/>
  <c r="CF77" i="3"/>
  <c r="M77" i="34"/>
  <c r="G80" i="43"/>
  <c r="L13" i="68"/>
  <c r="I41" i="32"/>
  <c r="O24" i="33"/>
  <c r="H45" i="85"/>
  <c r="L29" i="40"/>
  <c r="K83" i="61"/>
  <c r="N35" i="90"/>
  <c r="M19" i="71"/>
  <c r="J33" i="19"/>
  <c r="CG55" i="3" s="1"/>
  <c r="I42" i="56"/>
  <c r="I58" i="64"/>
  <c r="D97" i="61"/>
  <c r="J101" i="54"/>
  <c r="F82" i="81"/>
  <c r="L98" i="74"/>
  <c r="O52" i="92"/>
  <c r="I88" i="62"/>
  <c r="I50" i="70"/>
  <c r="O8" i="63"/>
  <c r="G24" i="58"/>
  <c r="O79" i="70"/>
  <c r="H5" i="78"/>
  <c r="J42" i="44"/>
  <c r="M21" i="84"/>
  <c r="G30" i="35"/>
  <c r="D29" i="85"/>
  <c r="N92" i="68"/>
  <c r="H46" i="83"/>
  <c r="I100" i="81"/>
  <c r="I12" i="92"/>
  <c r="L36" i="64"/>
  <c r="J98" i="45"/>
  <c r="D39" i="64"/>
  <c r="E94" i="62"/>
  <c r="I40" i="73"/>
  <c r="G46" i="45"/>
  <c r="F37" i="59"/>
  <c r="K74" i="91"/>
  <c r="M4" i="65"/>
  <c r="E5" i="32"/>
  <c r="K6" i="27"/>
  <c r="E24" i="59"/>
  <c r="E4" i="35"/>
  <c r="M13" i="54"/>
  <c r="J70" i="40"/>
  <c r="K65" i="68"/>
  <c r="N74" i="56"/>
  <c r="K73" i="80"/>
  <c r="I15" i="81"/>
  <c r="H43" i="25"/>
  <c r="CL77" i="3"/>
  <c r="L17" i="60"/>
  <c r="E29" i="67"/>
  <c r="L49" i="60"/>
  <c r="CL42" i="3"/>
  <c r="M82" i="54"/>
  <c r="G100" i="19"/>
  <c r="N9" i="92"/>
  <c r="N32" i="86"/>
  <c r="K36" i="19"/>
  <c r="I107" i="63"/>
  <c r="O12" i="54"/>
  <c r="L8" i="71"/>
  <c r="D27" i="66"/>
  <c r="E92" i="19"/>
  <c r="D106" i="66"/>
  <c r="M38" i="86"/>
  <c r="I20" i="27"/>
  <c r="M86" i="70"/>
  <c r="E88" i="38"/>
  <c r="E43" i="78"/>
  <c r="D51" i="39"/>
  <c r="J37" i="59"/>
  <c r="G34" i="89"/>
  <c r="H13" i="53"/>
  <c r="H82" i="78"/>
  <c r="O47" i="41"/>
  <c r="L100" i="70"/>
  <c r="I92" i="36"/>
  <c r="E64" i="75"/>
  <c r="M30" i="40"/>
  <c r="L12" i="48"/>
  <c r="H88" i="67"/>
  <c r="D25" i="57"/>
  <c r="G44" i="89"/>
  <c r="I77" i="48"/>
  <c r="F9" i="67"/>
  <c r="G7" i="36"/>
  <c r="M30" i="30"/>
  <c r="G61" i="65"/>
  <c r="H107" i="53"/>
  <c r="N33" i="89"/>
  <c r="I41" i="73"/>
  <c r="M95" i="35"/>
  <c r="O19" i="45"/>
  <c r="J36" i="74"/>
  <c r="M79" i="46"/>
  <c r="N57" i="59"/>
  <c r="L19" i="78"/>
  <c r="E91" i="32"/>
  <c r="I6" i="78"/>
  <c r="J40" i="67"/>
  <c r="J74" i="27"/>
  <c r="G45" i="82"/>
  <c r="J8" i="48"/>
  <c r="F32" i="73"/>
  <c r="K101" i="61"/>
  <c r="E103" i="76"/>
  <c r="H7" i="56"/>
  <c r="G103" i="47"/>
  <c r="M12" i="43"/>
  <c r="G34" i="80"/>
  <c r="E42" i="85"/>
  <c r="E73" i="65"/>
  <c r="G35" i="53"/>
  <c r="F56" i="74"/>
  <c r="I97" i="43"/>
  <c r="D43" i="77"/>
  <c r="G49" i="55"/>
  <c r="G103" i="54"/>
  <c r="L21" i="65"/>
  <c r="J47" i="38"/>
  <c r="N16" i="26"/>
  <c r="N7" i="48"/>
  <c r="I25" i="59"/>
  <c r="E42" i="68"/>
  <c r="E37"/>
  <c r="G25" i="44"/>
  <c r="G29" i="77"/>
  <c r="D59" i="46"/>
  <c r="K27" i="82"/>
  <c r="J40" i="36"/>
  <c r="E106" i="46"/>
  <c r="E79" i="34"/>
  <c r="H106" i="25"/>
  <c r="I104" i="33"/>
  <c r="F36" i="42"/>
  <c r="N39" i="80"/>
  <c r="G12" i="85"/>
  <c r="H104" i="33"/>
  <c r="I34" i="49"/>
  <c r="G42" i="42"/>
  <c r="L68" i="80"/>
  <c r="E79" i="84"/>
  <c r="L12" i="72"/>
  <c r="M62" i="48"/>
  <c r="CE58" i="3"/>
  <c r="K17" i="68"/>
  <c r="O106" i="64"/>
  <c r="M91" i="55"/>
  <c r="L51" i="69"/>
  <c r="G34" i="54"/>
  <c r="L73" i="86"/>
  <c r="L65" i="92"/>
  <c r="D38" i="56"/>
  <c r="C6" i="22"/>
  <c r="N29" i="66"/>
  <c r="L55" i="53"/>
  <c r="O27" i="90"/>
  <c r="G18" i="39"/>
  <c r="D19" i="81"/>
  <c r="J13" i="72"/>
  <c r="K23" i="27"/>
  <c r="K10" i="40"/>
  <c r="F33" i="71"/>
  <c r="N42" i="69"/>
  <c r="M86" i="49"/>
  <c r="O31" i="48"/>
  <c r="G67" i="56"/>
  <c r="F20" i="34"/>
  <c r="O106" i="44"/>
  <c r="D92" i="84"/>
  <c r="M45" i="32"/>
  <c r="N20" i="94"/>
  <c r="O30" i="62"/>
  <c r="H98" i="39"/>
  <c r="N33" i="90"/>
  <c r="K30" i="87"/>
  <c r="N48" i="44"/>
  <c r="O11" i="67"/>
  <c r="G54" i="82"/>
  <c r="K38" i="92"/>
  <c r="G91" i="46"/>
  <c r="H61" i="86"/>
  <c r="J18" i="92"/>
  <c r="H91" i="32"/>
  <c r="J28" i="72"/>
  <c r="O83" i="64"/>
  <c r="H88" i="40"/>
  <c r="K23" i="60"/>
  <c r="M49" i="65"/>
  <c r="M88" i="69"/>
  <c r="O98" i="27"/>
  <c r="L33" i="39"/>
  <c r="E57" i="56"/>
  <c r="M43" i="44"/>
  <c r="K36" i="51"/>
  <c r="K97" i="81"/>
  <c r="H104" i="90"/>
  <c r="G5" i="86"/>
  <c r="H13" i="76"/>
  <c r="H50" i="42"/>
  <c r="D82" i="30"/>
  <c r="G55" i="33"/>
  <c r="X50" i="96"/>
  <c r="F25" i="44"/>
  <c r="L79" i="90"/>
  <c r="N21" i="35"/>
  <c r="H14" i="68"/>
  <c r="M44" i="26"/>
  <c r="O27" i="71"/>
  <c r="K45" i="56"/>
  <c r="N5" i="77"/>
  <c r="D50" i="72"/>
  <c r="F91" i="80"/>
  <c r="D65" i="30"/>
  <c r="D8" i="29"/>
  <c r="L64" i="56"/>
  <c r="E41" i="64"/>
  <c r="K92" i="71"/>
  <c r="O40" i="32"/>
  <c r="O37" i="51"/>
  <c r="H83" i="30"/>
  <c r="M77" i="47"/>
  <c r="K16" i="83"/>
  <c r="D106" i="77"/>
  <c r="N39" i="71"/>
  <c r="D16" i="22"/>
  <c r="K16" i="81"/>
  <c r="N34"/>
  <c r="I42" i="90"/>
  <c r="E5" i="84"/>
  <c r="D15" i="56"/>
  <c r="O48" i="68"/>
  <c r="G12" i="65"/>
  <c r="F14" i="68"/>
  <c r="I85" i="73"/>
  <c r="J23" i="47"/>
  <c r="D8" i="65"/>
  <c r="H35" i="83"/>
  <c r="H91" i="43"/>
  <c r="G8" i="62"/>
  <c r="M36" i="64"/>
  <c r="N43" i="84"/>
  <c r="D89" i="82"/>
  <c r="J26" i="41"/>
  <c r="F30" i="67"/>
  <c r="I4" i="87"/>
  <c r="N80" i="83"/>
  <c r="F22" i="45"/>
  <c r="M103" i="92"/>
  <c r="D74" i="35"/>
  <c r="H59" i="47"/>
  <c r="G31" i="19"/>
  <c r="D22" i="66"/>
  <c r="F76" i="67"/>
  <c r="N28" i="80"/>
  <c r="I77" i="91"/>
  <c r="D76" i="81"/>
  <c r="D70" i="77"/>
  <c r="H85" i="74"/>
  <c r="G14" i="59"/>
  <c r="H21" i="71"/>
  <c r="K56" i="87"/>
  <c r="K100" i="67"/>
  <c r="M41" i="60"/>
  <c r="I47" i="62"/>
  <c r="M61" i="87"/>
  <c r="L21" i="61"/>
  <c r="K44" i="54"/>
  <c r="H67" i="57"/>
  <c r="J77" i="69"/>
  <c r="F67" i="74"/>
  <c r="E17" i="83"/>
  <c r="I30" i="43"/>
  <c r="J89" i="61"/>
  <c r="N9" i="93"/>
  <c r="I43" i="62"/>
  <c r="J86" i="82"/>
  <c r="I46" i="63"/>
  <c r="I71" i="85"/>
  <c r="L95" i="69"/>
  <c r="L22"/>
  <c r="I26" i="73"/>
  <c r="K98" i="69"/>
  <c r="J98" i="78"/>
  <c r="E64" i="93"/>
  <c r="N15" i="84"/>
  <c r="G15" i="89"/>
  <c r="J88" i="81"/>
  <c r="K42" i="71"/>
  <c r="L76" i="33"/>
  <c r="D28" i="77"/>
  <c r="L9" i="27"/>
  <c r="J23" i="19"/>
  <c r="F27" i="51"/>
  <c r="O92" i="46"/>
  <c r="M53" i="63"/>
  <c r="E88" i="32"/>
  <c r="N73" i="47"/>
  <c r="F80" i="54"/>
  <c r="D103" i="93"/>
  <c r="M40" i="56"/>
  <c r="O73" i="36"/>
  <c r="O40" i="64"/>
  <c r="E49" i="54"/>
  <c r="O10" i="73"/>
  <c r="N22" i="27"/>
  <c r="E86" i="43"/>
  <c r="H10" i="84"/>
  <c r="E52" i="91"/>
  <c r="O23" i="61"/>
  <c r="F38" i="73"/>
  <c r="O98" i="84"/>
  <c r="E8" i="60"/>
  <c r="O88" i="39"/>
  <c r="D62" i="92"/>
  <c r="H11" i="59"/>
  <c r="N11" i="67"/>
  <c r="K27" i="54"/>
  <c r="E100" i="49"/>
  <c r="H103" i="42"/>
  <c r="H42" i="79"/>
  <c r="O16" i="57"/>
  <c r="H17" i="68"/>
  <c r="L85" i="39"/>
  <c r="L55" i="68"/>
  <c r="J25" i="58"/>
  <c r="G62" i="75"/>
  <c r="J13" i="74"/>
  <c r="J50" i="92"/>
  <c r="M76" i="63"/>
  <c r="L48" i="49"/>
  <c r="F18" i="44"/>
  <c r="K34" i="90"/>
  <c r="M56" i="32"/>
  <c r="F23" i="62"/>
  <c r="M8" i="55"/>
  <c r="F28" i="72"/>
  <c r="F91" i="66"/>
  <c r="H103" i="58"/>
  <c r="F103" i="82"/>
  <c r="G61" i="46"/>
  <c r="O24" i="80"/>
  <c r="G42" i="85"/>
  <c r="F25" i="64"/>
  <c r="J36" i="57"/>
  <c r="F36" i="50"/>
  <c r="G32" i="65"/>
  <c r="D94" i="72"/>
  <c r="M76" i="39"/>
  <c r="G82" i="35"/>
  <c r="I10" i="64"/>
  <c r="N59" i="36"/>
  <c r="K86" i="48"/>
  <c r="O86" i="81"/>
  <c r="H13" i="93"/>
  <c r="I100" i="86"/>
  <c r="N104" i="82"/>
  <c r="F77" i="92"/>
  <c r="I48" i="64"/>
  <c r="G40" i="62"/>
  <c r="E49" i="90"/>
  <c r="L58" i="19"/>
  <c r="CI80" i="3" s="1"/>
  <c r="G12" i="81"/>
  <c r="O20" i="92"/>
  <c r="K49" i="19"/>
  <c r="D59" i="33"/>
  <c r="I80" i="63"/>
  <c r="K15" i="92"/>
  <c r="E4" i="54"/>
  <c r="K54" i="72"/>
  <c r="K40" i="64"/>
  <c r="H88" i="77"/>
  <c r="G44" i="72"/>
  <c r="O6" i="35"/>
  <c r="E40" i="57"/>
  <c r="E11" i="85"/>
  <c r="N92" i="56"/>
  <c r="K55" i="68"/>
  <c r="N103" i="19"/>
  <c r="D14" i="81"/>
  <c r="H94" i="43"/>
  <c r="F70" i="25"/>
  <c r="D57" i="87"/>
  <c r="H41" i="54"/>
  <c r="F45" i="29"/>
  <c r="F59" i="60"/>
  <c r="L48" i="84"/>
  <c r="K64" i="75"/>
  <c r="I107" i="59"/>
  <c r="D55" i="43"/>
  <c r="E71" i="47"/>
  <c r="D16"/>
  <c r="K36" i="87"/>
  <c r="N45" i="86"/>
  <c r="E55" i="80"/>
  <c r="M65" i="60"/>
  <c r="O45" i="65"/>
  <c r="N58" i="70"/>
  <c r="J54" i="41"/>
  <c r="L13" i="39"/>
  <c r="N54" i="56"/>
  <c r="H52" i="76"/>
  <c r="L83" i="44"/>
  <c r="E61" i="83"/>
  <c r="F97" i="60"/>
  <c r="J19"/>
  <c r="L10" i="33"/>
  <c r="F50" i="48"/>
  <c r="J65" i="58"/>
  <c r="D29" i="61"/>
  <c r="I51" i="40"/>
  <c r="J9" i="45"/>
  <c r="F45" i="40"/>
  <c r="M65" i="46"/>
  <c r="E68" i="89"/>
  <c r="K53" i="47"/>
  <c r="F28" i="66"/>
  <c r="M35" i="29"/>
  <c r="J100" i="61"/>
  <c r="J73" i="60"/>
  <c r="H54" i="51"/>
  <c r="D6" i="86"/>
  <c r="E14" i="85"/>
  <c r="G26" i="29"/>
  <c r="J5" i="86"/>
  <c r="M107" i="64"/>
  <c r="M9" i="76"/>
  <c r="N55" i="73"/>
  <c r="O35" i="96"/>
  <c r="G15" i="41"/>
  <c r="E35" i="53"/>
  <c r="F50" i="19"/>
  <c r="D89" i="92"/>
  <c r="G61" i="64"/>
  <c r="E41" i="44"/>
  <c r="E30" i="89"/>
  <c r="G10" i="90"/>
  <c r="F31" i="92"/>
  <c r="O74" i="36"/>
  <c r="D46" i="66"/>
  <c r="O50" i="48"/>
  <c r="F29" i="84"/>
  <c r="J32" i="68"/>
  <c r="F51" i="74"/>
  <c r="H40" i="60"/>
  <c r="J95" i="94"/>
  <c r="G55" i="19"/>
  <c r="L58" i="76"/>
  <c r="L32"/>
  <c r="N59" i="47"/>
  <c r="H20" i="87"/>
  <c r="J7" i="25"/>
  <c r="D62" i="69"/>
  <c r="N82" i="34"/>
  <c r="L83" i="25"/>
  <c r="J95" i="32"/>
  <c r="L20" i="41"/>
  <c r="K70" i="58"/>
  <c r="L101" i="73"/>
  <c r="K91" i="40"/>
  <c r="F55" i="33"/>
  <c r="H58" i="57"/>
  <c r="E65" i="66"/>
  <c r="E13" i="49"/>
  <c r="H26" i="82"/>
  <c r="D31" i="94"/>
  <c r="E15" i="51"/>
  <c r="K5" i="89"/>
  <c r="M106" i="34"/>
  <c r="J71" i="94"/>
  <c r="I94" i="40"/>
  <c r="F49" i="26"/>
  <c r="D45" i="53"/>
  <c r="N26" i="69"/>
  <c r="J55" i="64"/>
  <c r="H13" i="19"/>
  <c r="M64" i="60"/>
  <c r="D106" i="78"/>
  <c r="F47" i="75"/>
  <c r="O41" i="48"/>
  <c r="F86" i="84"/>
  <c r="D27" i="19"/>
  <c r="O55" i="64"/>
  <c r="N106" i="33"/>
  <c r="E51" i="87"/>
  <c r="G24" i="64"/>
  <c r="I64" i="65"/>
  <c r="K44" i="48"/>
  <c r="I58" i="67"/>
  <c r="I37" i="57"/>
  <c r="M103" i="29"/>
  <c r="N97" i="86"/>
  <c r="G48" i="51"/>
  <c r="L13"/>
  <c r="G70" i="89"/>
  <c r="L82" i="19"/>
  <c r="H41" i="52"/>
  <c r="F10" i="66"/>
  <c r="D58" i="25"/>
  <c r="O73" i="30"/>
  <c r="M17" i="83"/>
  <c r="G39" i="47"/>
  <c r="K26" i="58"/>
  <c r="N21" i="90"/>
  <c r="N94" i="82"/>
  <c r="K38" i="94"/>
  <c r="L38" i="34"/>
  <c r="M29" i="55"/>
  <c r="O94" i="83"/>
  <c r="K107" i="60"/>
  <c r="G89" i="33"/>
  <c r="G20" i="79"/>
  <c r="N48" i="54"/>
  <c r="D12" i="85"/>
  <c r="O29" i="96"/>
  <c r="K9" i="32"/>
  <c r="H29" i="36"/>
  <c r="F14" i="63"/>
  <c r="O33" i="78"/>
  <c r="D103" i="59"/>
  <c r="J55" i="84"/>
  <c r="N58" i="61"/>
  <c r="K9" i="82"/>
  <c r="L32" i="49"/>
  <c r="L97" i="53"/>
  <c r="D48" i="54"/>
  <c r="O68" i="75"/>
  <c r="M27" i="54"/>
  <c r="O103" i="47"/>
  <c r="K36" i="43"/>
  <c r="H74" i="38"/>
  <c r="E76" i="72"/>
  <c r="H51" i="19"/>
  <c r="G40" i="49"/>
  <c r="I53" i="45"/>
  <c r="K58" i="47"/>
  <c r="E13" i="34"/>
  <c r="L82" i="81"/>
  <c r="D49" i="92"/>
  <c r="J45" i="29"/>
  <c r="H35" i="70"/>
  <c r="H27" i="61"/>
  <c r="N13" i="86"/>
  <c r="K27" i="70"/>
  <c r="K58" i="82"/>
  <c r="H37" i="71"/>
  <c r="H23" i="69"/>
  <c r="H9" i="76"/>
  <c r="I88" i="90"/>
  <c r="H28" i="85"/>
  <c r="I9" i="75"/>
  <c r="M91" i="94"/>
  <c r="I13" i="45"/>
  <c r="D30" i="71"/>
  <c r="G18" i="76"/>
  <c r="M97" i="83"/>
  <c r="L70" i="94"/>
  <c r="D92" i="90"/>
  <c r="K6" i="80"/>
  <c r="G20" i="90"/>
  <c r="N40" i="73"/>
  <c r="M89" i="35"/>
  <c r="O20" i="71"/>
  <c r="E11" i="44"/>
  <c r="O68" i="48"/>
  <c r="G98" i="41"/>
  <c r="O18" i="66"/>
  <c r="I50" i="82"/>
  <c r="O55" i="71"/>
  <c r="N7" i="93"/>
  <c r="M25" i="36"/>
  <c r="H71" i="76"/>
  <c r="G37" i="74"/>
  <c r="E83" i="30"/>
  <c r="F77" i="69"/>
  <c r="M20" i="72"/>
  <c r="J54" i="68"/>
  <c r="G31" i="84"/>
  <c r="F31" i="63"/>
  <c r="G30" i="76"/>
  <c r="F24" i="51"/>
  <c r="D61" i="43"/>
  <c r="G56" i="90"/>
  <c r="F47" i="60"/>
  <c r="H70" i="71"/>
  <c r="H28" i="73"/>
  <c r="C18" i="96"/>
  <c r="H19" i="53"/>
  <c r="D107"/>
  <c r="D44" i="26"/>
  <c r="E88" i="66"/>
  <c r="I16" i="94"/>
  <c r="K25" i="62"/>
  <c r="F107" i="73"/>
  <c r="O54" i="26"/>
  <c r="J79" i="57"/>
  <c r="F46" i="83"/>
  <c r="J47" i="26"/>
  <c r="F68" i="32"/>
  <c r="N25" i="70"/>
  <c r="D27" i="82"/>
  <c r="F37" i="71"/>
  <c r="K30" i="81"/>
  <c r="O68" i="93"/>
  <c r="D29" i="75"/>
  <c r="F26" i="46"/>
  <c r="M76" i="61"/>
  <c r="G95" i="87"/>
  <c r="I56" i="76"/>
  <c r="O54" i="80"/>
  <c r="E56" i="38"/>
  <c r="E26" i="86"/>
  <c r="J59" i="50"/>
  <c r="K30" i="72"/>
  <c r="M56" i="92"/>
  <c r="K23" i="66"/>
  <c r="K104" i="74"/>
  <c r="L11" i="91"/>
  <c r="D104" i="33"/>
  <c r="H59" i="52"/>
  <c r="D68" i="41"/>
  <c r="F16" i="72"/>
  <c r="L77" i="73"/>
  <c r="J83" i="80"/>
  <c r="G48" i="32"/>
  <c r="G44" i="46"/>
  <c r="L103" i="74"/>
  <c r="F29" i="69"/>
  <c r="H33" i="81"/>
  <c r="I14" i="62"/>
  <c r="N74" i="76"/>
  <c r="D48" i="44"/>
  <c r="D55" i="64"/>
  <c r="J17" i="60"/>
  <c r="G43" i="59"/>
  <c r="F36" i="81"/>
  <c r="K71" i="70"/>
  <c r="M39" i="66"/>
  <c r="D36" i="92"/>
  <c r="H88" i="91"/>
  <c r="O45" i="62"/>
  <c r="O15" i="92"/>
  <c r="D19" i="67"/>
  <c r="E104" i="80"/>
  <c r="M80" i="63"/>
  <c r="E8" i="38"/>
  <c r="O45" i="61"/>
  <c r="D44" i="76"/>
  <c r="O61" i="30"/>
  <c r="L61" i="53"/>
  <c r="L86" i="86"/>
  <c r="K74" i="41"/>
  <c r="E53" i="59"/>
  <c r="D101" i="46"/>
  <c r="D56" i="19"/>
  <c r="M54" i="51"/>
  <c r="E16" i="83"/>
  <c r="J28" i="76"/>
  <c r="E19" i="92"/>
  <c r="K97" i="47"/>
  <c r="L53" i="53"/>
  <c r="N74" i="84"/>
  <c r="I25" i="87"/>
  <c r="J83" i="84"/>
  <c r="H77" i="77"/>
  <c r="G98" i="29"/>
  <c r="F71" i="44"/>
  <c r="E25" i="85"/>
  <c r="O41" i="44"/>
  <c r="J5" i="67"/>
  <c r="D58" i="50"/>
  <c r="I21" i="30"/>
  <c r="M73" i="41"/>
  <c r="H95" i="49"/>
  <c r="D13" i="63"/>
  <c r="O79" i="44"/>
  <c r="O47" i="89"/>
  <c r="F17" i="79"/>
  <c r="D97" i="42"/>
  <c r="I35" i="25"/>
  <c r="N62" i="70"/>
  <c r="F36" i="52"/>
  <c r="CK47" i="3"/>
  <c r="G5" i="63"/>
  <c r="J104" i="87"/>
  <c r="F46" i="58"/>
  <c r="F61" i="38"/>
  <c r="L64" i="80"/>
  <c r="K35" i="45"/>
  <c r="N101" i="68"/>
  <c r="L10" i="86"/>
  <c r="F9" i="77"/>
  <c r="M61" i="38"/>
  <c r="O104" i="41"/>
  <c r="K21" i="73"/>
  <c r="G98" i="82"/>
  <c r="L98" i="58"/>
  <c r="F49" i="33"/>
  <c r="K62" i="48"/>
  <c r="I35" i="85"/>
  <c r="N33" i="63"/>
  <c r="O91" i="67"/>
  <c r="N64" i="38"/>
  <c r="G68" i="57"/>
  <c r="I71" i="36"/>
  <c r="D15" i="52"/>
  <c r="O82" i="59"/>
  <c r="J50" i="71"/>
  <c r="K52" i="48"/>
  <c r="O6" i="44"/>
  <c r="F61" i="25"/>
  <c r="O14" i="57"/>
  <c r="N12" i="48"/>
  <c r="I42" i="50"/>
  <c r="M19" i="78"/>
  <c r="F29" i="67"/>
  <c r="CG42" i="3"/>
  <c r="D73" i="74"/>
  <c r="F98" i="40"/>
  <c r="I58" i="82"/>
  <c r="G77" i="56"/>
  <c r="H42" i="87"/>
  <c r="O27" i="36"/>
  <c r="J46" i="30"/>
  <c r="O95" i="61"/>
  <c r="N5" i="78"/>
  <c r="I97" i="67"/>
  <c r="D86" i="44"/>
  <c r="K29" i="83"/>
  <c r="D23" i="92"/>
  <c r="CA69" i="3"/>
  <c r="L100" i="92"/>
  <c r="CG37" i="3"/>
  <c r="K38" i="56"/>
  <c r="O37" i="25"/>
  <c r="M61" i="46"/>
  <c r="F49" i="92"/>
  <c r="N97" i="54"/>
  <c r="J19" i="46"/>
  <c r="H56" i="54"/>
  <c r="O5" i="82"/>
  <c r="L73" i="90"/>
  <c r="I16" i="44"/>
  <c r="M55" i="55"/>
  <c r="G53" i="39"/>
  <c r="M28" i="86"/>
  <c r="O44" i="43"/>
  <c r="D18" i="73"/>
  <c r="O61" i="46"/>
  <c r="O79" i="91"/>
  <c r="I55" i="69"/>
  <c r="G86" i="19"/>
  <c r="E54"/>
  <c r="K22" i="63"/>
  <c r="K29" i="84"/>
  <c r="G23" i="57"/>
  <c r="G27" i="70"/>
  <c r="N77" i="94"/>
  <c r="K16" i="92"/>
  <c r="M23" i="41"/>
  <c r="O68" i="32"/>
  <c r="L107" i="89"/>
  <c r="G65" i="26"/>
  <c r="F44" i="41"/>
  <c r="O71" i="70"/>
  <c r="D26" i="40"/>
  <c r="L18" i="55"/>
  <c r="D12" i="66"/>
  <c r="I22" i="92"/>
  <c r="E68" i="19"/>
  <c r="I32" i="54"/>
  <c r="G98" i="94"/>
  <c r="F92" i="79"/>
  <c r="N42" i="71"/>
  <c r="H49" i="80"/>
  <c r="E83" i="62"/>
  <c r="I94" i="56"/>
  <c r="L73" i="71"/>
  <c r="H48" i="56"/>
  <c r="K47" i="59"/>
  <c r="O39" i="91"/>
  <c r="I56" i="42"/>
  <c r="K19" i="82"/>
  <c r="I5" i="58"/>
  <c r="N6" i="63"/>
  <c r="K97" i="76"/>
  <c r="E15" i="73"/>
  <c r="D40" i="86"/>
  <c r="E91" i="53"/>
  <c r="D21" i="72"/>
  <c r="N106" i="78"/>
  <c r="J35" i="61"/>
  <c r="M83" i="63"/>
  <c r="G47" i="35"/>
  <c r="E86" i="72"/>
  <c r="M50" i="73"/>
  <c r="G107" i="71"/>
  <c r="E68" i="61"/>
  <c r="F37" i="91"/>
  <c r="K104" i="63"/>
  <c r="F22" i="64"/>
  <c r="L50" i="71"/>
  <c r="I20" i="87"/>
  <c r="F86" i="52"/>
  <c r="I52" i="35"/>
  <c r="I26" i="75"/>
  <c r="L30" i="48"/>
  <c r="J31" i="40"/>
  <c r="F86" i="25"/>
  <c r="K104" i="38"/>
  <c r="M77" i="59"/>
  <c r="K86" i="30"/>
  <c r="J49" i="25"/>
  <c r="J17" i="76"/>
  <c r="E39" i="69"/>
  <c r="H61" i="93"/>
  <c r="M67" i="92"/>
  <c r="J28" i="69"/>
  <c r="J65" i="51"/>
  <c r="O18" i="77"/>
  <c r="L65" i="81"/>
  <c r="G42" i="53"/>
  <c r="M10" i="33"/>
  <c r="M9" i="34"/>
  <c r="M62" i="75"/>
  <c r="G100" i="68"/>
  <c r="I22" i="71"/>
  <c r="D45" i="75"/>
  <c r="N34" i="32"/>
  <c r="I50" i="27"/>
  <c r="O73" i="55"/>
  <c r="L55" i="54"/>
  <c r="O8" i="62"/>
  <c r="H28" i="56"/>
  <c r="N24" i="62"/>
  <c r="D16" i="40"/>
  <c r="J50" i="79"/>
  <c r="M29" i="43"/>
  <c r="D95" i="38"/>
  <c r="F89" i="93"/>
  <c r="I88" i="91"/>
  <c r="L16" i="26"/>
  <c r="F65" i="58"/>
  <c r="O88" i="65"/>
  <c r="CB50" i="3"/>
  <c r="J17" i="49"/>
  <c r="H56" i="35"/>
  <c r="L22" i="57"/>
  <c r="I35" i="43"/>
  <c r="J54" i="81"/>
  <c r="F24" i="58"/>
  <c r="I91" i="82"/>
  <c r="J71" i="86"/>
  <c r="I43" i="54"/>
  <c r="M94" i="64"/>
  <c r="F88" i="76"/>
  <c r="G6" i="26"/>
  <c r="F30" i="44"/>
  <c r="L45" i="56"/>
  <c r="J31" i="34"/>
  <c r="O53" i="30"/>
  <c r="N29" i="34"/>
  <c r="F31" i="56"/>
  <c r="K89" i="68"/>
  <c r="J23" i="33"/>
  <c r="D8" i="81"/>
  <c r="I55" i="29"/>
  <c r="G28" i="25"/>
  <c r="G54" i="30"/>
  <c r="K76" i="47"/>
  <c r="E37" i="83"/>
  <c r="G20" i="66"/>
  <c r="E21" i="47"/>
  <c r="M48" i="71"/>
  <c r="M27" i="33"/>
  <c r="M49" i="19"/>
  <c r="L95" i="63"/>
  <c r="L82" i="83"/>
  <c r="E30" i="65"/>
  <c r="L71" i="80"/>
  <c r="F68" i="51"/>
  <c r="O22" i="69"/>
  <c r="E6" i="25"/>
  <c r="L51" i="62"/>
  <c r="K59" i="93"/>
  <c r="F76" i="62"/>
  <c r="O79" i="72"/>
  <c r="L23" i="27"/>
  <c r="M24" i="43"/>
  <c r="F68" i="73"/>
  <c r="N107" i="58"/>
  <c r="I54" i="39"/>
  <c r="O17" i="40"/>
  <c r="O64" i="48"/>
  <c r="I22" i="89"/>
  <c r="L94" i="30"/>
  <c r="L77" i="45"/>
  <c r="O107" i="61"/>
  <c r="I15" i="67"/>
  <c r="N61" i="39"/>
  <c r="G20" i="42"/>
  <c r="N64" i="91"/>
  <c r="M74" i="61"/>
  <c r="F27" i="58"/>
  <c r="E79" i="89"/>
  <c r="F73" i="46"/>
  <c r="N62" i="75"/>
  <c r="I59" i="50"/>
  <c r="F83" i="51"/>
  <c r="M57" i="60"/>
  <c r="K15" i="38"/>
  <c r="L11" i="81"/>
  <c r="D67" i="41"/>
  <c r="O53" i="54"/>
  <c r="J64" i="29"/>
  <c r="D104" i="79"/>
  <c r="H5" i="54"/>
  <c r="D37" i="48"/>
  <c r="L59" i="30"/>
  <c r="J38" i="61"/>
  <c r="L49" i="19"/>
  <c r="N83" i="40"/>
  <c r="K22" i="54"/>
  <c r="L86" i="67"/>
  <c r="I79" i="69"/>
  <c r="F107" i="29"/>
  <c r="N47" i="45"/>
  <c r="F52" i="79"/>
  <c r="H58" i="72"/>
  <c r="E40" i="26"/>
  <c r="J85" i="65"/>
  <c r="D48" i="96"/>
  <c r="K86" i="61"/>
  <c r="N7" i="64"/>
  <c r="E103" i="61"/>
  <c r="M11" i="39"/>
  <c r="L46" i="90"/>
  <c r="H43" i="26"/>
  <c r="I54" i="44"/>
  <c r="K74" i="74"/>
  <c r="O37" i="30"/>
  <c r="K88" i="78"/>
  <c r="J7" i="30"/>
  <c r="M37"/>
  <c r="K95" i="65"/>
  <c r="F88" i="40"/>
  <c r="G68" i="51"/>
  <c r="F61"/>
  <c r="G95" i="57"/>
  <c r="M88" i="60"/>
  <c r="F46" i="49"/>
  <c r="F27" i="55"/>
  <c r="H94" i="60"/>
  <c r="E34" i="34"/>
  <c r="E27" i="48"/>
  <c r="D15" i="44"/>
  <c r="J94" i="27"/>
  <c r="F23" i="89"/>
  <c r="H30" i="77"/>
  <c r="L25" i="68"/>
  <c r="O49" i="45"/>
  <c r="G15" i="78"/>
  <c r="H31" i="53"/>
  <c r="N8" i="67"/>
  <c r="E89" i="33"/>
  <c r="H53" i="69"/>
  <c r="H80" i="66"/>
  <c r="G58" i="54"/>
  <c r="M68" i="51"/>
  <c r="K38" i="81"/>
  <c r="O59" i="74"/>
  <c r="L9" i="89"/>
  <c r="E54" i="74"/>
  <c r="I59" i="62"/>
  <c r="G16" i="43"/>
  <c r="D94" i="52"/>
  <c r="F80" i="44"/>
  <c r="L32" i="64"/>
  <c r="K27" i="19"/>
  <c r="D91" i="47"/>
  <c r="F34"/>
  <c r="N70" i="72"/>
  <c r="J39" i="81"/>
  <c r="G8" i="80"/>
  <c r="N68" i="34"/>
  <c r="H45" i="36"/>
  <c r="O88" i="68"/>
  <c r="O73" i="69"/>
  <c r="J92" i="70"/>
  <c r="E14" i="68"/>
  <c r="K30" i="58"/>
  <c r="M45" i="25"/>
  <c r="M67" i="56"/>
  <c r="G9" i="94"/>
  <c r="L26" i="39"/>
  <c r="L50" i="36"/>
  <c r="N5" i="84"/>
  <c r="D83" i="78"/>
  <c r="I41" i="58"/>
  <c r="L35" i="67"/>
  <c r="D62" i="36"/>
  <c r="I11" i="77"/>
  <c r="CG67" i="3"/>
  <c r="D26" i="29"/>
  <c r="D100" i="69"/>
  <c r="O27" i="26"/>
  <c r="O8" i="82"/>
  <c r="N14" i="77"/>
  <c r="M101" i="63"/>
  <c r="O14" i="49"/>
  <c r="M42" i="29"/>
  <c r="I55" i="51"/>
  <c r="G101" i="33"/>
  <c r="D68" i="74"/>
  <c r="F24" i="76"/>
  <c r="I51" i="19"/>
  <c r="D50" i="48"/>
  <c r="F55" i="52"/>
  <c r="M29" i="69"/>
  <c r="M79" i="55"/>
  <c r="N49" i="82"/>
  <c r="O19" i="78"/>
  <c r="K57" i="66"/>
  <c r="H48" i="92"/>
  <c r="I94" i="53"/>
  <c r="N76" i="44"/>
  <c r="G29" i="40"/>
  <c r="K88" i="56"/>
  <c r="M47" i="45"/>
  <c r="J74" i="59"/>
  <c r="K55" i="84"/>
  <c r="H74" i="39"/>
  <c r="O104" i="70"/>
  <c r="J23" i="81"/>
  <c r="J64" i="65"/>
  <c r="E76" i="26"/>
  <c r="K68" i="45"/>
  <c r="O100" i="80"/>
  <c r="N52" i="81"/>
  <c r="L10" i="53"/>
  <c r="F44" i="92"/>
  <c r="N103" i="64"/>
  <c r="I76" i="54"/>
  <c r="D48" i="81"/>
  <c r="L6" i="84"/>
  <c r="E58" i="19"/>
  <c r="I39" i="66"/>
  <c r="O79" i="93"/>
  <c r="N104" i="59"/>
  <c r="G11" i="26"/>
  <c r="E25" i="29"/>
  <c r="G13" i="83"/>
  <c r="H36" i="57"/>
  <c r="G34" i="66"/>
  <c r="M59" i="90"/>
  <c r="L20" i="47"/>
  <c r="M25" i="58"/>
  <c r="F107" i="85"/>
  <c r="CJ53" i="3"/>
  <c r="J80" i="19"/>
  <c r="M98" i="77"/>
  <c r="L86" i="29"/>
  <c r="K35"/>
  <c r="K52"/>
  <c r="H38" i="77"/>
  <c r="H9" i="34"/>
  <c r="E8" i="27"/>
  <c r="D101" i="40"/>
  <c r="J31" i="51"/>
  <c r="M26" i="94"/>
  <c r="F94" i="52"/>
  <c r="O32" i="77"/>
  <c r="E51" i="25"/>
  <c r="H85" i="43"/>
  <c r="E83" i="53"/>
  <c r="H38" i="60"/>
  <c r="O20" i="32"/>
  <c r="J98" i="69"/>
  <c r="E6" i="77"/>
  <c r="D27" i="22"/>
  <c r="F100" i="57"/>
  <c r="N103" i="26"/>
  <c r="L21" i="48"/>
  <c r="F100" i="80"/>
  <c r="L51" i="35"/>
  <c r="O13" i="72"/>
  <c r="M53" i="92"/>
  <c r="L91" i="45"/>
  <c r="D51" i="44"/>
  <c r="H50" i="93"/>
  <c r="G98" i="65"/>
  <c r="M50" i="30"/>
  <c r="E100" i="45"/>
  <c r="J107" i="30"/>
  <c r="K8" i="87"/>
  <c r="E15" i="86"/>
  <c r="M17" i="53"/>
  <c r="I91" i="93"/>
  <c r="G49" i="39"/>
  <c r="O77" i="51"/>
  <c r="N53" i="57"/>
  <c r="F54" i="58"/>
  <c r="J53" i="92"/>
  <c r="L71" i="62"/>
  <c r="O70" i="94"/>
  <c r="J73" i="93"/>
  <c r="E77" i="55"/>
  <c r="I52" i="46"/>
  <c r="H104" i="42"/>
  <c r="D45" i="25"/>
  <c r="E37" i="89"/>
  <c r="H33" i="57"/>
  <c r="F9" i="74"/>
  <c r="I62" i="76"/>
  <c r="F8" i="85"/>
  <c r="M94" i="39"/>
  <c r="J11" i="65"/>
  <c r="E64" i="33"/>
  <c r="E44" i="26"/>
  <c r="M45" i="34"/>
  <c r="O47" i="58"/>
  <c r="F34" i="54"/>
  <c r="H92" i="26"/>
  <c r="N24" i="35"/>
  <c r="J14" i="41"/>
  <c r="H4" i="64"/>
  <c r="M9" i="91"/>
  <c r="E106" i="69"/>
  <c r="M83" i="90"/>
  <c r="D86" i="80"/>
  <c r="N45" i="45"/>
  <c r="L48" i="71"/>
  <c r="F61" i="54"/>
  <c r="D100" i="82"/>
  <c r="CJ47" i="3"/>
  <c r="I107" i="76"/>
  <c r="I6" i="68"/>
  <c r="I50" i="83"/>
  <c r="O68" i="61"/>
  <c r="I59" i="91"/>
  <c r="G85" i="51"/>
  <c r="K16" i="48"/>
  <c r="G73" i="83"/>
  <c r="G48" i="75"/>
  <c r="N88" i="86"/>
  <c r="O51" i="36"/>
  <c r="J53" i="48"/>
  <c r="K46" i="49"/>
  <c r="D37" i="96"/>
  <c r="D104" i="83"/>
  <c r="J70" i="59"/>
  <c r="N31" i="76"/>
  <c r="G52" i="49"/>
  <c r="F73" i="79"/>
  <c r="K39" i="33"/>
  <c r="I37" i="30"/>
  <c r="D38" i="53"/>
  <c r="F59" i="19"/>
  <c r="L88" i="67"/>
  <c r="K50" i="78"/>
  <c r="M17" i="58"/>
  <c r="K65" i="57"/>
  <c r="O103" i="40"/>
  <c r="F64" i="50"/>
  <c r="G85" i="85"/>
  <c r="L61" i="84"/>
  <c r="O54" i="67"/>
  <c r="J36" i="69"/>
  <c r="I5" i="93"/>
  <c r="H89" i="85"/>
  <c r="I31" i="94"/>
  <c r="H45" i="54"/>
  <c r="F50" i="67"/>
  <c r="K58" i="68"/>
  <c r="E18" i="73"/>
  <c r="K11" i="61"/>
  <c r="L8" i="74"/>
  <c r="N97" i="53"/>
  <c r="N88" i="49"/>
  <c r="H29" i="80"/>
  <c r="CL57" i="3"/>
  <c r="J88" i="35"/>
  <c r="K46" i="43"/>
  <c r="O21" i="58"/>
  <c r="F89" i="41"/>
  <c r="D30" i="68"/>
  <c r="AA6" i="96"/>
  <c r="M37" i="66"/>
  <c r="H92" i="80"/>
  <c r="O28" i="39"/>
  <c r="E24" i="47"/>
  <c r="L55" i="66"/>
  <c r="G50" i="26"/>
  <c r="J34" i="77"/>
  <c r="E8" i="61"/>
  <c r="D7" i="34"/>
  <c r="E106" i="38"/>
  <c r="J77" i="86"/>
  <c r="F80" i="90"/>
  <c r="J92" i="35"/>
  <c r="O37" i="61"/>
  <c r="K77" i="38"/>
  <c r="J49" i="26"/>
  <c r="N79" i="67"/>
  <c r="E54" i="77"/>
  <c r="E29" i="39"/>
  <c r="CF80" i="3"/>
  <c r="I54" i="92"/>
  <c r="E55" i="55"/>
  <c r="M94" i="65"/>
  <c r="L44" i="19"/>
  <c r="O64" i="66"/>
  <c r="F32" i="69"/>
  <c r="K24" i="29"/>
  <c r="D70" i="85"/>
  <c r="E65" i="57"/>
  <c r="L30" i="44"/>
  <c r="F47" i="76"/>
  <c r="H5" i="58"/>
  <c r="J44" i="84"/>
  <c r="J67" i="92"/>
  <c r="I34" i="82"/>
  <c r="CH31" i="3"/>
  <c r="D24" i="94"/>
  <c r="F62" i="53"/>
  <c r="F79" i="40"/>
  <c r="H47" i="39"/>
  <c r="E57" i="26"/>
  <c r="M43" i="62"/>
  <c r="J61" i="46"/>
  <c r="K19" i="41"/>
  <c r="F57" i="65"/>
  <c r="L4" i="51"/>
  <c r="G38" i="33"/>
  <c r="D28" i="63"/>
  <c r="J58" i="86"/>
  <c r="N32" i="92"/>
  <c r="G28" i="19"/>
  <c r="H54" i="72"/>
  <c r="K100" i="35"/>
  <c r="J57" i="19"/>
  <c r="D85" i="30"/>
  <c r="G80" i="50"/>
  <c r="L59" i="33"/>
  <c r="E25" i="50"/>
  <c r="M52" i="86"/>
  <c r="O31" i="49"/>
  <c r="K100" i="65"/>
  <c r="J94" i="82"/>
  <c r="J17" i="43"/>
  <c r="D54" i="66"/>
  <c r="O51" i="86"/>
  <c r="J46" i="73"/>
  <c r="I35" i="72"/>
  <c r="D17" i="51"/>
  <c r="J64" i="50"/>
  <c r="K86" i="32"/>
  <c r="M85" i="26"/>
  <c r="F82" i="89"/>
  <c r="E20" i="76"/>
  <c r="J10" i="19"/>
  <c r="N12" i="67"/>
  <c r="D54"/>
  <c r="D30" i="83"/>
  <c r="G79" i="90"/>
  <c r="E36" i="60"/>
  <c r="O88" i="41"/>
  <c r="N17" i="35"/>
  <c r="K50" i="51"/>
  <c r="D64" i="81"/>
  <c r="O13" i="47"/>
  <c r="M32" i="49"/>
  <c r="N45" i="90"/>
  <c r="G20" i="33"/>
  <c r="F98" i="77"/>
  <c r="I61" i="86"/>
  <c r="E26" i="52"/>
  <c r="L27" i="30"/>
  <c r="E41" i="57"/>
  <c r="K71" i="93"/>
  <c r="D76" i="39"/>
  <c r="I48" i="55"/>
  <c r="N43" i="61"/>
  <c r="J100" i="60"/>
  <c r="G74" i="47"/>
  <c r="D58" i="46"/>
  <c r="F40" i="33"/>
  <c r="F6" i="60"/>
  <c r="M34" i="68"/>
  <c r="L5" i="38"/>
  <c r="K31" i="27"/>
  <c r="O6" i="41"/>
  <c r="M32" i="65"/>
  <c r="CB28" i="3"/>
  <c r="E54" i="94"/>
  <c r="L49" i="67"/>
  <c r="M25" i="90"/>
  <c r="E55" i="41"/>
  <c r="N101" i="27"/>
  <c r="F41" i="62"/>
  <c r="D46" i="70"/>
  <c r="H49" i="25"/>
  <c r="G103" i="50"/>
  <c r="F44" i="89"/>
  <c r="E12" i="39"/>
  <c r="I24" i="43"/>
  <c r="H49" i="26"/>
  <c r="I38" i="86"/>
  <c r="N40" i="74"/>
  <c r="J7"/>
  <c r="H15" i="87"/>
  <c r="H14" i="58"/>
  <c r="K16" i="32"/>
  <c r="E59" i="35"/>
  <c r="O62" i="77"/>
  <c r="M28" i="55"/>
  <c r="G22" i="29"/>
  <c r="G51" i="91"/>
  <c r="I65" i="81"/>
  <c r="D23" i="73"/>
  <c r="N33" i="19"/>
  <c r="K23" i="63"/>
  <c r="E17" i="70"/>
  <c r="D106" i="44"/>
  <c r="M98" i="33"/>
  <c r="F64" i="91"/>
  <c r="J27" i="34"/>
  <c r="O16" i="46"/>
  <c r="N98" i="60"/>
  <c r="D56" i="66"/>
  <c r="O104" i="29"/>
  <c r="H42" i="82"/>
  <c r="L34" i="35"/>
  <c r="D51" i="57"/>
  <c r="O55" i="39"/>
  <c r="G42" i="30"/>
  <c r="H79" i="19"/>
  <c r="I54" i="71"/>
  <c r="G38" i="25"/>
  <c r="G58" i="49"/>
  <c r="O70" i="29"/>
  <c r="H8" i="77"/>
  <c r="H107" i="79"/>
  <c r="M45" i="54"/>
  <c r="M35" i="86"/>
  <c r="O41" i="26"/>
  <c r="F67" i="79"/>
  <c r="G89" i="25"/>
  <c r="O35" i="61"/>
  <c r="I22" i="19"/>
  <c r="O80" i="68"/>
  <c r="K73" i="72"/>
  <c r="F5" i="66"/>
  <c r="K47" i="32"/>
  <c r="N71" i="45"/>
  <c r="D43" i="25"/>
  <c r="J42" i="79"/>
  <c r="K40" i="56"/>
  <c r="D57" i="59"/>
  <c r="M35" i="58"/>
  <c r="D68" i="71"/>
  <c r="I12" i="86"/>
  <c r="L71"/>
  <c r="N20" i="30"/>
  <c r="F97"/>
  <c r="O38" i="45"/>
  <c r="J26" i="93"/>
  <c r="O92" i="71"/>
  <c r="K86" i="19"/>
  <c r="H65" i="80"/>
  <c r="O37" i="26"/>
  <c r="G68" i="87"/>
  <c r="G37" i="46"/>
  <c r="M33" i="68"/>
  <c r="K10" i="73"/>
  <c r="M94" i="91"/>
  <c r="L54" i="82"/>
  <c r="I85" i="25"/>
  <c r="I57" i="65"/>
  <c r="H92" i="30"/>
  <c r="N101" i="64"/>
  <c r="N14" i="82"/>
  <c r="K107" i="83"/>
  <c r="E40" i="86"/>
  <c r="G14" i="80"/>
  <c r="M95" i="45"/>
  <c r="J22" i="57"/>
  <c r="G20" i="51"/>
  <c r="H44" i="92"/>
  <c r="M42" i="82"/>
  <c r="G34" i="34"/>
  <c r="J74" i="55"/>
  <c r="N32" i="58"/>
  <c r="E48"/>
  <c r="M59" i="82"/>
  <c r="L14" i="22"/>
  <c r="I88" i="45"/>
  <c r="M45" i="70"/>
  <c r="O9" i="73"/>
  <c r="D23" i="26"/>
  <c r="H65" i="76"/>
  <c r="K83" i="74"/>
  <c r="I76" i="49"/>
  <c r="K71" i="32"/>
  <c r="O67" i="38"/>
  <c r="H55" i="78"/>
  <c r="N39" i="75"/>
  <c r="I20" i="34"/>
  <c r="L16" i="64"/>
  <c r="D103" i="44"/>
  <c r="H5" i="89"/>
  <c r="O50" i="71"/>
  <c r="N53" i="87"/>
  <c r="E49" i="58"/>
  <c r="J12" i="62"/>
  <c r="K12" i="60"/>
  <c r="G104" i="46"/>
  <c r="M17" i="49"/>
  <c r="O62" i="64"/>
  <c r="H95" i="30"/>
  <c r="J83" i="59"/>
  <c r="F91" i="89"/>
  <c r="E91" i="62"/>
  <c r="O22" i="41"/>
  <c r="M36" i="70"/>
  <c r="M42" i="36"/>
  <c r="E68" i="53"/>
  <c r="D103" i="61"/>
  <c r="D11" i="51"/>
  <c r="M28" i="45"/>
  <c r="K62" i="19"/>
  <c r="K26" i="82"/>
  <c r="G59" i="43"/>
  <c r="G33" i="84"/>
  <c r="K40" i="81"/>
  <c r="K36" i="36"/>
  <c r="J77" i="73"/>
  <c r="E50" i="92"/>
  <c r="G67" i="86"/>
  <c r="D58" i="27"/>
  <c r="CG36" i="3"/>
  <c r="J55" i="57"/>
  <c r="D83" i="26"/>
  <c r="K50" i="39"/>
  <c r="N62" i="55"/>
  <c r="E18" i="32"/>
  <c r="E5" i="89"/>
  <c r="L16" i="61"/>
  <c r="G71" i="33"/>
  <c r="K16" i="38"/>
  <c r="H76" i="46"/>
  <c r="N25" i="29"/>
  <c r="F71" i="50"/>
  <c r="E98" i="60"/>
  <c r="K19" i="48"/>
  <c r="G26" i="30"/>
  <c r="F88" i="94"/>
  <c r="I24" i="93"/>
  <c r="L73" i="41"/>
  <c r="G58" i="45"/>
  <c r="O27" i="34"/>
  <c r="K49" i="39"/>
  <c r="D10" i="47"/>
  <c r="M28" i="64"/>
  <c r="O4" i="68"/>
  <c r="M32" i="55"/>
  <c r="F29" i="65"/>
  <c r="M106" i="75"/>
  <c r="H73" i="29"/>
  <c r="O51" i="25"/>
  <c r="F82" i="30"/>
  <c r="N35" i="87"/>
  <c r="K16" i="90"/>
  <c r="O35" i="74"/>
  <c r="L56" i="51"/>
  <c r="M59" i="60"/>
  <c r="J104" i="80"/>
  <c r="O104" i="57"/>
  <c r="M68" i="92"/>
  <c r="F50" i="78"/>
  <c r="J11" i="19"/>
  <c r="F42" i="29"/>
  <c r="F55" i="94"/>
  <c r="G7" i="83"/>
  <c r="J37" i="41"/>
  <c r="M10" i="30"/>
  <c r="J52" i="79"/>
  <c r="H23" i="39"/>
  <c r="O91" i="49"/>
  <c r="H106" i="90"/>
  <c r="J55" i="77"/>
  <c r="M86" i="26"/>
  <c r="D8" i="41"/>
  <c r="G34" i="60"/>
  <c r="N80" i="93"/>
  <c r="N12" i="33"/>
  <c r="N58" i="57"/>
  <c r="D33" i="72"/>
  <c r="N5" i="89"/>
  <c r="D23" i="41"/>
  <c r="D80" i="50"/>
  <c r="F22" i="41"/>
  <c r="H38" i="47"/>
  <c r="E103" i="86"/>
  <c r="O89" i="74"/>
  <c r="D48" i="70"/>
  <c r="J44" i="29"/>
  <c r="J77" i="63"/>
  <c r="O82" i="61"/>
  <c r="I13" i="51"/>
  <c r="N94" i="74"/>
  <c r="G59" i="33"/>
  <c r="I38" i="90"/>
  <c r="I24" i="75"/>
  <c r="K59" i="70"/>
  <c r="O28" i="61"/>
  <c r="L74"/>
  <c r="J95" i="66"/>
  <c r="F67" i="64"/>
  <c r="L36" i="43"/>
  <c r="J29" i="73"/>
  <c r="M88" i="19"/>
  <c r="J83" i="87"/>
  <c r="N14" i="92"/>
  <c r="L103" i="82"/>
  <c r="J53" i="68"/>
  <c r="K32" i="83"/>
  <c r="M10" i="27"/>
  <c r="E91" i="26"/>
  <c r="K7" i="62"/>
  <c r="G100" i="45"/>
  <c r="G50" i="70"/>
  <c r="L68" i="92"/>
  <c r="M95" i="67"/>
  <c r="M43" i="32"/>
  <c r="L40" i="54"/>
  <c r="H31" i="57"/>
  <c r="D22" i="40"/>
  <c r="M92" i="46"/>
  <c r="L5" i="53"/>
  <c r="K45" i="35"/>
  <c r="O19" i="90"/>
  <c r="O42" i="81"/>
  <c r="F38"/>
  <c r="J28" i="78"/>
  <c r="M29" i="35"/>
  <c r="M73" i="19"/>
  <c r="G31" i="75"/>
  <c r="F38" i="92"/>
  <c r="I4"/>
  <c r="J83" i="79"/>
  <c r="I70" i="78"/>
  <c r="D28" i="73"/>
  <c r="J9" i="63"/>
  <c r="H57" i="69"/>
  <c r="M15" i="76"/>
  <c r="L27" i="63"/>
  <c r="J21" i="41"/>
  <c r="K51" i="93"/>
  <c r="N94" i="27"/>
  <c r="H74" i="47"/>
  <c r="E18" i="77"/>
  <c r="L13"/>
  <c r="L77" i="54"/>
  <c r="I56" i="73"/>
  <c r="M98" i="75"/>
  <c r="I97"/>
  <c r="N50" i="73"/>
  <c r="O33" i="70"/>
  <c r="O42" i="72"/>
  <c r="H62" i="76"/>
  <c r="J7" i="46"/>
  <c r="O30" i="35"/>
  <c r="D65" i="49"/>
  <c r="L11" i="67"/>
  <c r="O33" i="33"/>
  <c r="I38" i="42"/>
  <c r="H17" i="81"/>
  <c r="L103" i="71"/>
  <c r="G59" i="58"/>
  <c r="J11" i="87"/>
  <c r="F56" i="82"/>
  <c r="N36" i="47"/>
  <c r="K68" i="57"/>
  <c r="I45" i="48"/>
  <c r="N100" i="70"/>
  <c r="K85" i="68"/>
  <c r="L51" i="84"/>
  <c r="F88" i="54"/>
  <c r="K26" i="94"/>
  <c r="G64" i="82"/>
  <c r="H86" i="47"/>
  <c r="L64" i="84"/>
  <c r="M29" i="19"/>
  <c r="J18" i="67"/>
  <c r="D53" i="51"/>
  <c r="X23" i="96" s="1"/>
  <c r="N17" i="40"/>
  <c r="J32" i="81"/>
  <c r="G37" i="49"/>
  <c r="O33" i="57"/>
  <c r="H103" i="34"/>
  <c r="K18" i="19"/>
  <c r="E20" i="86"/>
  <c r="J39" i="66"/>
  <c r="G83" i="55"/>
  <c r="H22" i="83"/>
  <c r="M70" i="26"/>
  <c r="E56" i="84"/>
  <c r="D27" i="26"/>
  <c r="G76" i="30"/>
  <c r="N94" i="32"/>
  <c r="L101" i="40"/>
  <c r="I46" i="53"/>
  <c r="F65" i="63"/>
  <c r="L68" i="58"/>
  <c r="K44" i="78"/>
  <c r="D97" i="68"/>
  <c r="J73" i="44"/>
  <c r="L17" i="36"/>
  <c r="O22" i="30"/>
  <c r="N23" i="34"/>
  <c r="M40" i="29"/>
  <c r="L61" i="47"/>
  <c r="I107" i="84"/>
  <c r="H88" i="85"/>
  <c r="K32" i="25"/>
  <c r="E15" i="81"/>
  <c r="I4" i="65"/>
  <c r="D24" i="73"/>
  <c r="N47" i="65"/>
  <c r="D5" i="92"/>
  <c r="E65" i="45"/>
  <c r="D56" i="65"/>
  <c r="H49" i="86"/>
  <c r="H55" i="77"/>
  <c r="L44" i="47"/>
  <c r="N14" i="36"/>
  <c r="D107" i="50"/>
  <c r="F52" i="73"/>
  <c r="I8" i="43"/>
  <c r="CF30" i="3" s="1"/>
  <c r="J92" i="19"/>
  <c r="H92" i="57"/>
  <c r="K32" i="77"/>
  <c r="O100"/>
  <c r="L23" i="65"/>
  <c r="E17" i="46"/>
  <c r="L85" i="35"/>
  <c r="L19" i="72"/>
  <c r="D64" i="30"/>
  <c r="G16" i="82"/>
  <c r="F47" i="71"/>
  <c r="N51" i="34"/>
  <c r="N28" i="84"/>
  <c r="K26" i="38"/>
  <c r="D26" i="25"/>
  <c r="K28" i="91"/>
  <c r="D11" i="19"/>
  <c r="J50"/>
  <c r="CG72" i="3" s="1"/>
  <c r="D97" i="40"/>
  <c r="J40" i="41"/>
  <c r="I39" i="26"/>
  <c r="O79" i="55"/>
  <c r="F98" i="86"/>
  <c r="N101" i="67"/>
  <c r="D23" i="51"/>
  <c r="M4" i="90"/>
  <c r="N28" i="40"/>
  <c r="H16" i="92"/>
  <c r="M35" i="45"/>
  <c r="L71" i="26"/>
  <c r="L44" i="82"/>
  <c r="M12" i="92"/>
  <c r="F40" i="40"/>
  <c r="G34" i="26"/>
  <c r="K86" i="27"/>
  <c r="D37" i="61"/>
  <c r="I37" i="38"/>
  <c r="O47" i="82"/>
  <c r="J47" i="77"/>
  <c r="K95" i="40"/>
  <c r="J88" i="92"/>
  <c r="O71" i="59"/>
  <c r="M104" i="63"/>
  <c r="N107" i="33"/>
  <c r="F19" i="50"/>
  <c r="O42" i="83"/>
  <c r="F25" i="75"/>
  <c r="F15" i="30"/>
  <c r="E34" i="49"/>
  <c r="I6" i="80"/>
  <c r="K67" i="40"/>
  <c r="I64" i="46"/>
  <c r="F45" i="49"/>
  <c r="G31" i="74"/>
  <c r="I59" i="84"/>
  <c r="E10" i="67"/>
  <c r="E14" i="59"/>
  <c r="L70" i="74"/>
  <c r="N92" i="32"/>
  <c r="J51" i="67"/>
  <c r="K28" i="38"/>
  <c r="F37" i="77"/>
  <c r="D20" i="65"/>
  <c r="I28"/>
  <c r="E49" i="83"/>
  <c r="O37" i="38"/>
  <c r="G34" i="68"/>
  <c r="G97" i="83"/>
  <c r="E82" i="92"/>
  <c r="O85" i="46"/>
  <c r="D82"/>
  <c r="O16" i="30"/>
  <c r="E11" i="81"/>
  <c r="N101" i="57"/>
  <c r="E19" i="67"/>
  <c r="L70" i="43"/>
  <c r="D77" i="91"/>
  <c r="E73" i="63"/>
  <c r="K88" i="33"/>
  <c r="D56" i="56"/>
  <c r="F97" i="38"/>
  <c r="J103" i="57"/>
  <c r="L73" i="91"/>
  <c r="J50" i="56"/>
  <c r="N59" i="86"/>
  <c r="E47" i="50"/>
  <c r="O54" i="44"/>
  <c r="K104" i="76"/>
  <c r="H41" i="91"/>
  <c r="L33" i="82"/>
  <c r="H101" i="55"/>
  <c r="F80" i="60"/>
  <c r="I21" i="19"/>
  <c r="CF43" i="3" s="1"/>
  <c r="H94" i="77"/>
  <c r="E33" i="91"/>
  <c r="O42" i="77"/>
  <c r="J91" i="55"/>
  <c r="H91" i="25"/>
  <c r="M67" i="40"/>
  <c r="J6" i="48"/>
  <c r="D38" i="54"/>
  <c r="F103" i="90"/>
  <c r="N6" i="84"/>
  <c r="I5" i="62"/>
  <c r="E94" i="59"/>
  <c r="D4" i="61"/>
  <c r="E12" i="80"/>
  <c r="M15" i="73"/>
  <c r="I36" i="78"/>
  <c r="N79" i="58"/>
  <c r="L5" i="69"/>
  <c r="I36" i="52"/>
  <c r="G83" i="51"/>
  <c r="G47" i="29"/>
  <c r="N83" i="75"/>
  <c r="L67" i="74"/>
  <c r="L32" i="94"/>
  <c r="E5" i="68"/>
  <c r="F11" i="41"/>
  <c r="M82" i="90"/>
  <c r="F11" i="47"/>
  <c r="G101" i="46"/>
  <c r="I9" i="59"/>
  <c r="J101" i="44"/>
  <c r="F27" i="57"/>
  <c r="K35" i="71"/>
  <c r="N80" i="74"/>
  <c r="D86" i="36"/>
  <c r="L10" i="27"/>
  <c r="J91" i="36"/>
  <c r="I40" i="57"/>
  <c r="N18" i="38"/>
  <c r="H24" i="60"/>
  <c r="H37" i="73"/>
  <c r="L43" i="72"/>
  <c r="N65" i="66"/>
  <c r="J27" i="72"/>
  <c r="E52" i="55"/>
  <c r="N37" i="84"/>
  <c r="K18" i="89"/>
  <c r="E82" i="19"/>
  <c r="F13" i="68"/>
  <c r="E103" i="35"/>
  <c r="I95" i="43"/>
  <c r="M17" i="45"/>
  <c r="E22" i="64"/>
  <c r="M57" i="77"/>
  <c r="D76" i="40"/>
  <c r="N77" i="82"/>
  <c r="O65" i="62"/>
  <c r="F106" i="60"/>
  <c r="G17" i="35"/>
  <c r="I52" i="50"/>
  <c r="E39" i="91"/>
  <c r="I58" i="71"/>
  <c r="J94" i="48"/>
  <c r="F17" i="59"/>
  <c r="F39" i="57"/>
  <c r="I88" i="87"/>
  <c r="N77" i="65"/>
  <c r="O49" i="33"/>
  <c r="N28" i="67"/>
  <c r="M26" i="39"/>
  <c r="G56" i="32"/>
  <c r="L32" i="26"/>
  <c r="G5" i="36"/>
  <c r="D17" i="35"/>
  <c r="J33" i="50"/>
  <c r="I106" i="30"/>
  <c r="J46" i="41"/>
  <c r="M17" i="47"/>
  <c r="F77" i="78"/>
  <c r="D23" i="74"/>
  <c r="D94" i="75"/>
  <c r="H61" i="51"/>
  <c r="G89" i="26"/>
  <c r="I68" i="19"/>
  <c r="I30" i="42"/>
  <c r="J11" i="25"/>
  <c r="N37" i="66"/>
  <c r="E26" i="27"/>
  <c r="N42" i="66"/>
  <c r="D77" i="40"/>
  <c r="L7" i="90"/>
  <c r="M36" i="45"/>
  <c r="L56" i="46"/>
  <c r="F65" i="75"/>
  <c r="F14" i="52"/>
  <c r="J83" i="45"/>
  <c r="D19" i="61"/>
  <c r="F42" i="52"/>
  <c r="N21" i="76"/>
  <c r="O6" i="90"/>
  <c r="D31" i="68"/>
  <c r="J25" i="61"/>
  <c r="O34" i="76"/>
  <c r="E4"/>
  <c r="N12" i="65"/>
  <c r="D21" i="60"/>
  <c r="G15" i="48"/>
  <c r="F39" i="38"/>
  <c r="J14" i="57"/>
  <c r="G97" i="44"/>
  <c r="F39" i="82"/>
  <c r="M61" i="45"/>
  <c r="E86" i="67"/>
  <c r="K11" i="75"/>
  <c r="F82" i="29"/>
  <c r="G4" i="71"/>
  <c r="G15" i="53"/>
  <c r="J70" i="81"/>
  <c r="G15" i="26"/>
  <c r="E36" i="46"/>
  <c r="H107" i="64"/>
  <c r="F21" i="65"/>
  <c r="J73" i="87"/>
  <c r="D67" i="73"/>
  <c r="M14" i="64"/>
  <c r="G40" i="45"/>
  <c r="I74" i="49"/>
  <c r="N29" i="44"/>
  <c r="E52" i="46"/>
  <c r="F21" i="32"/>
  <c r="D76" i="62"/>
  <c r="J39" i="60"/>
  <c r="L45" i="49"/>
  <c r="G76" i="93"/>
  <c r="N36" i="82"/>
  <c r="I85" i="93"/>
  <c r="D14" i="59"/>
  <c r="J38" i="72"/>
  <c r="L83" i="87"/>
  <c r="N97" i="67"/>
  <c r="E97" i="81"/>
  <c r="D82" i="74"/>
  <c r="I101" i="50"/>
  <c r="G57" i="58"/>
  <c r="E70" i="29"/>
  <c r="D77" i="69"/>
  <c r="G29" i="29"/>
  <c r="G70" i="32"/>
  <c r="J59" i="27"/>
  <c r="E7" i="81"/>
  <c r="M54" i="57"/>
  <c r="K104" i="44"/>
  <c r="J5" i="57"/>
  <c r="K94" i="81"/>
  <c r="O39" i="92"/>
  <c r="J23" i="63"/>
  <c r="J64" i="45"/>
  <c r="G80" i="81"/>
  <c r="K40" i="70"/>
  <c r="K65" i="32"/>
  <c r="H31" i="62"/>
  <c r="D22" i="29"/>
  <c r="I68" i="34"/>
  <c r="J97" i="38"/>
  <c r="O73" i="47"/>
  <c r="F24" i="39"/>
  <c r="I104" i="29"/>
  <c r="F107" i="44"/>
  <c r="O30" i="66"/>
  <c r="D91" i="50"/>
  <c r="N80" i="61"/>
  <c r="I25" i="67"/>
  <c r="K5" i="78"/>
  <c r="G24" i="73"/>
  <c r="F57" i="34"/>
  <c r="J35" i="53"/>
  <c r="G76" i="79"/>
  <c r="L16" i="78"/>
  <c r="K10" i="44"/>
  <c r="I42" i="58"/>
  <c r="N24" i="56"/>
  <c r="L26" i="55"/>
  <c r="N100" i="61"/>
  <c r="G18" i="26"/>
  <c r="O5" i="25"/>
  <c r="E103" i="56"/>
  <c r="E28" i="48"/>
  <c r="M98"/>
  <c r="N101" i="39"/>
  <c r="O20" i="94"/>
  <c r="I47" i="40"/>
  <c r="K46" i="65"/>
  <c r="E38" i="50"/>
  <c r="F53" i="77"/>
  <c r="D29" i="25"/>
  <c r="L13"/>
  <c r="I62" i="93"/>
  <c r="K88" i="67"/>
  <c r="O9" i="80"/>
  <c r="D10" i="30"/>
  <c r="D104" i="66"/>
  <c r="L88" i="61"/>
  <c r="J28" i="70"/>
  <c r="J20" i="84"/>
  <c r="N54" i="72"/>
  <c r="I19" i="94"/>
  <c r="D91" i="35"/>
  <c r="F34" i="74"/>
  <c r="N59" i="29"/>
  <c r="H43" i="73"/>
  <c r="J8" i="87"/>
  <c r="E46" i="34"/>
  <c r="J8" i="70"/>
  <c r="M43" i="56"/>
  <c r="O83" i="53"/>
  <c r="L44" i="74"/>
  <c r="N6" i="41"/>
  <c r="G19" i="38"/>
  <c r="J46" i="47"/>
  <c r="I61" i="70"/>
  <c r="E91" i="84"/>
  <c r="N49" i="75"/>
  <c r="K82" i="76"/>
  <c r="O41" i="51"/>
  <c r="G51" i="62"/>
  <c r="O107" i="27"/>
  <c r="E91" i="79"/>
  <c r="G16" i="53"/>
  <c r="L68" i="81"/>
  <c r="G5" i="76"/>
  <c r="O35" i="48"/>
  <c r="F67" i="43"/>
  <c r="D53" i="75"/>
  <c r="H20" i="62"/>
  <c r="G10" i="46"/>
  <c r="K29" i="89"/>
  <c r="J104" i="68"/>
  <c r="K79" i="93"/>
  <c r="K15" i="29"/>
  <c r="F32" i="64"/>
  <c r="G47" i="26"/>
  <c r="O65" i="75"/>
  <c r="G9" i="83"/>
  <c r="K91" i="25"/>
  <c r="E25" i="40"/>
  <c r="N89" i="46"/>
  <c r="N15" i="93"/>
  <c r="J5" i="34"/>
  <c r="M28" i="71"/>
  <c r="I77" i="83"/>
  <c r="H4" i="82"/>
  <c r="J45" i="92"/>
  <c r="F91" i="35"/>
  <c r="N46" i="65"/>
  <c r="O13" i="69"/>
  <c r="G8" i="53"/>
  <c r="E88" i="36"/>
  <c r="M41" i="78"/>
  <c r="D82" i="94"/>
  <c r="F20" i="54"/>
  <c r="M35" i="62"/>
  <c r="I97" i="58"/>
  <c r="H68"/>
  <c r="I14" i="39"/>
  <c r="H86" i="64"/>
  <c r="E103" i="84"/>
  <c r="I28" i="34"/>
  <c r="I8" i="63"/>
  <c r="F59" i="55"/>
  <c r="N32" i="43"/>
  <c r="H77" i="48"/>
  <c r="N28" i="92"/>
  <c r="H92" i="91"/>
  <c r="F46" i="94"/>
  <c r="J101" i="66"/>
  <c r="I7" i="41"/>
  <c r="D107" i="68"/>
  <c r="K8" i="41"/>
  <c r="E71" i="57"/>
  <c r="E73" i="44"/>
  <c r="H95" i="35"/>
  <c r="G76" i="80"/>
  <c r="N86" i="76"/>
  <c r="D35" i="26"/>
  <c r="L7" i="93"/>
  <c r="J25" i="36"/>
  <c r="E48" i="26"/>
  <c r="D104" i="55"/>
  <c r="D7" i="50"/>
  <c r="L11" i="29"/>
  <c r="E27" i="87"/>
  <c r="K32" i="60"/>
  <c r="L94" i="90"/>
  <c r="F50" i="36"/>
  <c r="N98" i="93"/>
  <c r="N97" i="27"/>
  <c r="D23" i="36"/>
  <c r="H15" i="61"/>
  <c r="L31" i="26"/>
  <c r="N67" i="27"/>
  <c r="O9" i="47"/>
  <c r="K26" i="81"/>
  <c r="O34" i="62"/>
  <c r="O83" i="86"/>
  <c r="I27" i="82"/>
  <c r="F46" i="70"/>
  <c r="N16" i="46"/>
  <c r="O55" i="86"/>
  <c r="I55" i="90"/>
  <c r="G22" i="32"/>
  <c r="K33" i="69"/>
  <c r="L33" i="48"/>
  <c r="G53" i="30"/>
  <c r="M12" i="39"/>
  <c r="N20" i="80"/>
  <c r="L16" i="59"/>
  <c r="G89" i="85"/>
  <c r="L31" i="92"/>
  <c r="D10" i="40"/>
  <c r="E79" i="86"/>
  <c r="G35" i="50"/>
  <c r="D9" i="56"/>
  <c r="H29" i="43"/>
  <c r="N31" i="60"/>
  <c r="G77" i="68"/>
  <c r="L77" i="30"/>
  <c r="G5" i="48"/>
  <c r="L24" i="74"/>
  <c r="G28" i="48"/>
  <c r="H103" i="45"/>
  <c r="K53" i="58"/>
  <c r="K88" i="32"/>
  <c r="M39" i="62"/>
  <c r="J65" i="63"/>
  <c r="K29" i="77"/>
  <c r="M68" i="78"/>
  <c r="O50" i="84"/>
  <c r="H98" i="69"/>
  <c r="E64" i="72"/>
  <c r="I83" i="80"/>
  <c r="N24" i="92"/>
  <c r="I74" i="84"/>
  <c r="E8" i="36"/>
  <c r="I82" i="79"/>
  <c r="H97" i="71"/>
  <c r="G92" i="86"/>
  <c r="L98" i="89"/>
  <c r="F7" i="26"/>
  <c r="H107" i="34"/>
  <c r="H9" i="57"/>
  <c r="H51" i="59"/>
  <c r="D58" i="41"/>
  <c r="I31" i="87"/>
  <c r="K92" i="59"/>
  <c r="J82" i="89"/>
  <c r="G62" i="48"/>
  <c r="N65" i="58"/>
  <c r="G37" i="38"/>
  <c r="K30" i="36"/>
  <c r="O30" i="76"/>
  <c r="E36" i="26"/>
  <c r="J103" i="61"/>
  <c r="F83" i="86"/>
  <c r="J85" i="67"/>
  <c r="K31" i="94"/>
  <c r="G70" i="73"/>
  <c r="N73" i="59"/>
  <c r="H76" i="70"/>
  <c r="M24" i="35"/>
  <c r="K22" i="77"/>
  <c r="D64" i="64"/>
  <c r="M92" i="53"/>
  <c r="D21" i="90"/>
  <c r="I56" i="32"/>
  <c r="E57" i="61"/>
  <c r="K76" i="27"/>
  <c r="G98" i="66"/>
  <c r="O58" i="61"/>
  <c r="L45" i="27"/>
  <c r="O29" i="91"/>
  <c r="I15" i="85"/>
  <c r="H85" i="30"/>
  <c r="M44" i="83"/>
  <c r="D4" i="81"/>
  <c r="O47" i="44"/>
  <c r="L38" i="76"/>
  <c r="E24" i="85"/>
  <c r="O5" i="35"/>
  <c r="N11" i="86"/>
  <c r="D12" i="80"/>
  <c r="J11" i="68"/>
  <c r="F20" i="46"/>
  <c r="J9" i="47"/>
  <c r="I50" i="62"/>
  <c r="F26" i="59"/>
  <c r="L49" i="77"/>
  <c r="J103" i="67"/>
  <c r="F48" i="92"/>
  <c r="N12" i="35"/>
  <c r="F31" i="77"/>
  <c r="L19" i="38"/>
  <c r="H6" i="39"/>
  <c r="K86" i="84"/>
  <c r="O62" i="53"/>
  <c r="L30" i="76"/>
  <c r="F44" i="80"/>
  <c r="J61" i="64"/>
  <c r="J41" i="69"/>
  <c r="G10" i="70"/>
  <c r="H48" i="27"/>
  <c r="I16" i="67"/>
  <c r="O64" i="55"/>
  <c r="O97" i="36"/>
  <c r="I50" i="55"/>
  <c r="G74" i="93"/>
  <c r="D95" i="73"/>
  <c r="O65" i="92"/>
  <c r="J51" i="72"/>
  <c r="I68" i="86"/>
  <c r="L7" i="91"/>
  <c r="J44" i="77"/>
  <c r="G98" i="42"/>
  <c r="J73" i="58"/>
  <c r="N42" i="61"/>
  <c r="J25" i="68"/>
  <c r="M95" i="47"/>
  <c r="D48" i="25"/>
  <c r="D89" i="32"/>
  <c r="F10"/>
  <c r="I59" i="75"/>
  <c r="I51" i="77"/>
  <c r="N57" i="36"/>
  <c r="I49" i="83"/>
  <c r="I104" i="86"/>
  <c r="L12" i="61"/>
  <c r="N29" i="72"/>
  <c r="E98" i="48"/>
  <c r="M56" i="93"/>
  <c r="O10" i="30"/>
  <c r="H18" i="48"/>
  <c r="J42" i="69"/>
  <c r="J73" i="54"/>
  <c r="L11" i="34"/>
  <c r="N33" i="49"/>
  <c r="G89" i="50"/>
  <c r="H53" i="71"/>
  <c r="E65" i="55"/>
  <c r="H44" i="46"/>
  <c r="N50" i="91"/>
  <c r="N101" i="60"/>
  <c r="L106" i="46"/>
  <c r="K103" i="68"/>
  <c r="J67" i="81"/>
  <c r="I19" i="69"/>
  <c r="H18" i="66"/>
  <c r="K12" i="91"/>
  <c r="H31" i="49"/>
  <c r="N54" i="57"/>
  <c r="D20" i="53"/>
  <c r="K48" i="66"/>
  <c r="K73" i="54"/>
  <c r="H28" i="68"/>
  <c r="D54" i="72"/>
  <c r="H39" i="65"/>
  <c r="M29" i="92"/>
  <c r="H67" i="65"/>
  <c r="F29" i="92"/>
  <c r="E92" i="26"/>
  <c r="K62" i="90"/>
  <c r="D51" i="54"/>
  <c r="G39" i="71"/>
  <c r="H4" i="44"/>
  <c r="O35" i="66"/>
  <c r="M17" i="91"/>
  <c r="F47" i="27"/>
  <c r="I82" i="39"/>
  <c r="M5" i="90"/>
  <c r="D59" i="79"/>
  <c r="D22" i="50"/>
  <c r="H10" i="43"/>
  <c r="N18" i="62"/>
  <c r="G95" i="25"/>
  <c r="I13" i="33"/>
  <c r="E45" i="30"/>
  <c r="N9" i="29"/>
  <c r="K27" i="46"/>
  <c r="N103" i="92"/>
  <c r="E31" i="91"/>
  <c r="K12" i="40"/>
  <c r="M95" i="19"/>
  <c r="E22" i="42"/>
  <c r="F85" i="54"/>
  <c r="N12" i="44"/>
  <c r="E11" i="32"/>
  <c r="K86" i="74"/>
  <c r="M8" i="68"/>
  <c r="L94" i="44"/>
  <c r="K27" i="56"/>
  <c r="F46" i="47"/>
  <c r="I46" i="25"/>
  <c r="L11" i="86"/>
  <c r="J107" i="94"/>
  <c r="E49" i="67"/>
  <c r="G35" i="36"/>
  <c r="K20" i="19"/>
  <c r="O45" i="73"/>
  <c r="O23" i="38"/>
  <c r="O104" i="71"/>
  <c r="L101" i="55"/>
  <c r="H65" i="50"/>
  <c r="F70" i="48"/>
  <c r="L62" i="53"/>
  <c r="M83" i="82"/>
  <c r="L106" i="39"/>
  <c r="E97" i="86"/>
  <c r="G82" i="45"/>
  <c r="G4" i="81"/>
  <c r="J86" i="84"/>
  <c r="O57" i="77"/>
  <c r="M97" i="34"/>
  <c r="D9" i="59"/>
  <c r="H30" i="36"/>
  <c r="M51" i="66"/>
  <c r="H22" i="89"/>
  <c r="M74" i="82"/>
  <c r="L22" i="29"/>
  <c r="M83" i="92"/>
  <c r="L24" i="76"/>
  <c r="D104" i="42"/>
  <c r="L20" i="25"/>
  <c r="D91" i="68"/>
  <c r="E33" i="29"/>
  <c r="E77" i="60"/>
  <c r="K62" i="36"/>
  <c r="N100" i="59"/>
  <c r="J51" i="81"/>
  <c r="K25" i="48"/>
  <c r="K88" i="29"/>
  <c r="N41" i="69"/>
  <c r="K52" i="77"/>
  <c r="J8" i="91"/>
  <c r="I17" i="66"/>
  <c r="F53" i="80"/>
  <c r="K7" i="41"/>
  <c r="E64" i="36"/>
  <c r="H55" i="92"/>
  <c r="H83" i="45"/>
  <c r="E71" i="56"/>
  <c r="L77" i="75"/>
  <c r="CA63" i="3"/>
  <c r="J24" i="53"/>
  <c r="F26" i="27"/>
  <c r="H82" i="75"/>
  <c r="F98" i="19"/>
  <c r="E73" i="90"/>
  <c r="M41" i="57"/>
  <c r="M70"/>
  <c r="J51" i="62"/>
  <c r="D26" i="84"/>
  <c r="K30" i="44"/>
  <c r="G14" i="69"/>
  <c r="M71" i="54"/>
  <c r="G37" i="66"/>
  <c r="E15" i="67"/>
  <c r="E41" i="93"/>
  <c r="E43" i="87"/>
  <c r="H42" i="74"/>
  <c r="O86" i="94"/>
  <c r="F19" i="84"/>
  <c r="E56" i="54"/>
  <c r="N65" i="55"/>
  <c r="N34" i="65"/>
  <c r="G20" i="36"/>
  <c r="E86" i="39"/>
  <c r="J49" i="87"/>
  <c r="H19" i="19"/>
  <c r="CE41" i="3" s="1"/>
  <c r="M53" i="76"/>
  <c r="G45" i="72"/>
  <c r="D56" i="29"/>
  <c r="G107" i="66"/>
  <c r="H67" i="72"/>
  <c r="E46" i="46"/>
  <c r="L82"/>
  <c r="N44" i="34"/>
  <c r="I23" i="35"/>
  <c r="I67" i="91"/>
  <c r="N62" i="41"/>
  <c r="O51" i="93"/>
  <c r="D57" i="43"/>
  <c r="D30" i="25"/>
  <c r="I53" i="35"/>
  <c r="O25" i="72"/>
  <c r="E21" i="52"/>
  <c r="I86" i="68"/>
  <c r="L50" i="62"/>
  <c r="F27" i="45"/>
  <c r="N16" i="65"/>
  <c r="K100" i="33"/>
  <c r="M19" i="87"/>
  <c r="L101" i="86"/>
  <c r="K79" i="90"/>
  <c r="L22" i="43"/>
  <c r="CI44" i="3" s="1"/>
  <c r="D91" i="89"/>
  <c r="D32" i="45"/>
  <c r="K34" i="59"/>
  <c r="N95" i="61"/>
  <c r="F71" i="80"/>
  <c r="L4" i="87"/>
  <c r="I86" i="35"/>
  <c r="L37" i="43"/>
  <c r="I27" i="54"/>
  <c r="L89" i="89"/>
  <c r="L40" i="67"/>
  <c r="D4" i="69"/>
  <c r="CG52" i="3"/>
  <c r="I51" i="35"/>
  <c r="I45" i="26"/>
  <c r="M73" i="38"/>
  <c r="F76" i="44"/>
  <c r="M26" i="74"/>
  <c r="N85" i="87"/>
  <c r="G48" i="62"/>
  <c r="D6" i="54"/>
  <c r="E57" i="34"/>
  <c r="I94" i="67"/>
  <c r="H16" i="26"/>
  <c r="N58" i="77"/>
  <c r="F34" i="73"/>
  <c r="J4" i="86"/>
  <c r="D49" i="19"/>
  <c r="G37" i="67"/>
  <c r="M48" i="94"/>
  <c r="K107" i="86"/>
  <c r="L40" i="45"/>
  <c r="O14" i="55"/>
  <c r="L88" i="44"/>
  <c r="CK53" i="3"/>
  <c r="E89" i="35"/>
  <c r="F36" i="47"/>
  <c r="F55" i="54"/>
  <c r="N79" i="36"/>
  <c r="K40" i="90"/>
  <c r="O94" i="57"/>
  <c r="I77" i="68"/>
  <c r="L6" i="80"/>
  <c r="M89" i="57"/>
  <c r="K70" i="36"/>
  <c r="E104" i="34"/>
  <c r="J14" i="61"/>
  <c r="H73" i="85"/>
  <c r="O33" i="29"/>
  <c r="M30" i="56"/>
  <c r="O76" i="58"/>
  <c r="H45" i="34"/>
  <c r="O19" i="36"/>
  <c r="I88" i="67"/>
  <c r="F24" i="48"/>
  <c r="M10" i="70"/>
  <c r="O9" i="40"/>
  <c r="L50" i="61"/>
  <c r="L52"/>
  <c r="H48" i="32"/>
  <c r="M18" i="41"/>
  <c r="F74" i="61"/>
  <c r="L21" i="53"/>
  <c r="L17" i="73"/>
  <c r="D4" i="86"/>
  <c r="D58" i="96" s="1"/>
  <c r="I82" i="70"/>
  <c r="D89" i="38"/>
  <c r="I67" i="26"/>
  <c r="H83" i="38"/>
  <c r="I43" i="39"/>
  <c r="E53" i="72"/>
  <c r="G45" i="78"/>
  <c r="D39" i="49"/>
  <c r="K85" i="27"/>
  <c r="J26" i="84"/>
  <c r="H40" i="69"/>
  <c r="H11" i="41"/>
  <c r="D26" i="64"/>
  <c r="J67" i="27"/>
  <c r="M52" i="29"/>
  <c r="F35" i="27"/>
  <c r="E31" i="71"/>
  <c r="I36" i="93"/>
  <c r="G71" i="46"/>
  <c r="E107" i="75"/>
  <c r="G33" i="68"/>
  <c r="M39" i="41"/>
  <c r="G79" i="84"/>
  <c r="N11" i="56"/>
  <c r="G18" i="83"/>
  <c r="N29" i="43"/>
  <c r="J54" i="84"/>
  <c r="N10" i="33"/>
  <c r="I89" i="48"/>
  <c r="D29" i="70"/>
  <c r="G104" i="90"/>
  <c r="I45" i="50"/>
  <c r="F73" i="60"/>
  <c r="J52" i="63"/>
  <c r="D101" i="32"/>
  <c r="F76" i="93"/>
  <c r="H48" i="47"/>
  <c r="N43" i="74"/>
  <c r="K31" i="75"/>
  <c r="K16"/>
  <c r="H65" i="63"/>
  <c r="G100" i="62"/>
  <c r="D86" i="85"/>
  <c r="F104" i="51"/>
  <c r="M26" i="60"/>
  <c r="K44" i="82"/>
  <c r="J91" i="53"/>
  <c r="M22" i="45"/>
  <c r="H52" i="83"/>
  <c r="F6" i="62"/>
  <c r="L65" i="61"/>
  <c r="F7" i="52"/>
  <c r="O94" i="46"/>
  <c r="K51" i="84"/>
  <c r="O42" i="65"/>
  <c r="H27" i="43"/>
  <c r="E65" i="74"/>
  <c r="D79" i="27"/>
  <c r="D83" i="68"/>
  <c r="D56" i="30"/>
  <c r="K38" i="34"/>
  <c r="K19" i="60"/>
  <c r="G44" i="83"/>
  <c r="E11" i="68"/>
  <c r="L15" i="83"/>
  <c r="O53" i="56"/>
  <c r="I38" i="19"/>
  <c r="H62" i="63"/>
  <c r="E59" i="83"/>
  <c r="J94" i="91"/>
  <c r="N28" i="86"/>
  <c r="I92" i="70"/>
  <c r="H16" i="66"/>
  <c r="H92" i="82"/>
  <c r="D55" i="51"/>
  <c r="E62" i="70"/>
  <c r="I19" i="50"/>
  <c r="F70" i="66"/>
  <c r="D4" i="44"/>
  <c r="F29" i="81"/>
  <c r="O41" i="45"/>
  <c r="D21" i="30"/>
  <c r="I86" i="52"/>
  <c r="G68" i="60"/>
  <c r="G35" i="27"/>
  <c r="N10" i="45"/>
  <c r="I101" i="32"/>
  <c r="G40" i="35"/>
  <c r="G64" i="53"/>
  <c r="J91" i="59"/>
  <c r="D80" i="79"/>
  <c r="O10" i="93"/>
  <c r="J77" i="92"/>
  <c r="N61" i="48"/>
  <c r="K8" i="27"/>
  <c r="L37" i="19"/>
  <c r="M97" i="35"/>
  <c r="G40" i="34"/>
  <c r="O19" i="92"/>
  <c r="G5" i="75"/>
  <c r="O73" i="84"/>
  <c r="K67" i="68"/>
  <c r="J43" i="53"/>
  <c r="D76" i="30"/>
  <c r="E68" i="63"/>
  <c r="H50" i="49"/>
  <c r="H18" i="87"/>
  <c r="E97" i="90"/>
  <c r="F11" i="29"/>
  <c r="F53" i="66"/>
  <c r="F50" i="30"/>
  <c r="K101" i="92"/>
  <c r="J18" i="57"/>
  <c r="O52" i="44"/>
  <c r="F88" i="63"/>
  <c r="I71" i="81"/>
  <c r="K89" i="45"/>
  <c r="N94" i="63"/>
  <c r="I61" i="60"/>
  <c r="E21" i="54"/>
  <c r="H46" i="38"/>
  <c r="O80" i="46"/>
  <c r="M9" i="80"/>
  <c r="D41" i="54"/>
  <c r="I61" i="83"/>
  <c r="H32" i="56"/>
  <c r="D34" i="27"/>
  <c r="M5" i="61"/>
  <c r="D45" i="70"/>
  <c r="M51" i="32"/>
  <c r="N35" i="80"/>
  <c r="I86" i="78"/>
  <c r="D86" i="64"/>
  <c r="O55" i="67"/>
  <c r="J26" i="55"/>
  <c r="L23" i="39"/>
  <c r="N64" i="44"/>
  <c r="D85" i="94"/>
  <c r="J62" i="86"/>
  <c r="J104" i="27"/>
  <c r="H68" i="40"/>
  <c r="D43" i="59"/>
  <c r="K98" i="72"/>
  <c r="N59" i="34"/>
  <c r="M80" i="91"/>
  <c r="J88" i="53"/>
  <c r="H20" i="75"/>
  <c r="I4" i="38"/>
  <c r="D50" i="34"/>
  <c r="L71" i="68"/>
  <c r="J33" i="29"/>
  <c r="D40" i="32"/>
  <c r="E25" i="76"/>
  <c r="J34" i="46"/>
  <c r="M73" i="66"/>
  <c r="J14" i="58"/>
  <c r="J104" i="55"/>
  <c r="I42" i="70"/>
  <c r="I65" i="66"/>
  <c r="N35" i="30"/>
  <c r="I16" i="82"/>
  <c r="O92" i="58"/>
  <c r="F65" i="44"/>
  <c r="D106" i="69"/>
  <c r="D91" i="71"/>
  <c r="K79" i="46"/>
  <c r="E52" i="85"/>
  <c r="F97" i="62"/>
  <c r="M21" i="54"/>
  <c r="L8" i="47"/>
  <c r="O94" i="61"/>
  <c r="M39" i="27"/>
  <c r="K38" i="65"/>
  <c r="M91" i="92"/>
  <c r="G40" i="80"/>
  <c r="I47" i="47"/>
  <c r="F104" i="69"/>
  <c r="G41" i="66"/>
  <c r="M57" i="69"/>
  <c r="G97" i="50"/>
  <c r="L42" i="51"/>
  <c r="E12" i="38"/>
  <c r="K76" i="29"/>
  <c r="N46" i="38"/>
  <c r="L104" i="53"/>
  <c r="E76" i="54"/>
  <c r="M98" i="39"/>
  <c r="H57" i="50"/>
  <c r="H57" i="38"/>
  <c r="E24" i="64"/>
  <c r="J79" i="39"/>
  <c r="I34" i="19"/>
  <c r="G100" i="93"/>
  <c r="M65" i="94"/>
  <c r="L79" i="74"/>
  <c r="L50" i="89"/>
  <c r="H20" i="63"/>
  <c r="J79" i="58"/>
  <c r="G47" i="64"/>
  <c r="G65" i="69"/>
  <c r="H59" i="78"/>
  <c r="O10" i="26"/>
  <c r="E37" i="76"/>
  <c r="H28" i="70"/>
  <c r="G27" i="56"/>
  <c r="F94" i="87"/>
  <c r="I15" i="60"/>
  <c r="J21" i="40"/>
  <c r="H36" i="68"/>
  <c r="J100" i="65"/>
  <c r="H65" i="84"/>
  <c r="F103" i="89"/>
  <c r="H50" i="56"/>
  <c r="I14" i="29"/>
  <c r="N36" i="30"/>
  <c r="G55" i="44"/>
  <c r="G101"/>
  <c r="K104" i="56"/>
  <c r="E36" i="30"/>
  <c r="H86" i="66"/>
  <c r="N7" i="72"/>
  <c r="J12" i="59"/>
  <c r="G21" i="47"/>
  <c r="J97" i="91"/>
  <c r="O68" i="58"/>
  <c r="G57" i="49"/>
  <c r="I91" i="63"/>
  <c r="H43" i="40"/>
  <c r="O79" i="62"/>
  <c r="G18" i="69"/>
  <c r="J50" i="27"/>
  <c r="L51" i="46"/>
  <c r="L59" i="29"/>
  <c r="M9" i="25"/>
  <c r="H16" i="89"/>
  <c r="I17" i="72"/>
  <c r="N65" i="59"/>
  <c r="E54" i="45"/>
  <c r="O92" i="80"/>
  <c r="H5" i="19"/>
  <c r="CE27" i="3" s="1"/>
  <c r="M21" i="83"/>
  <c r="O20" i="47"/>
  <c r="M7" i="92"/>
  <c r="K94" i="45"/>
  <c r="K50" i="73"/>
  <c r="L53" i="84"/>
  <c r="L20" i="55"/>
  <c r="D20" i="34"/>
  <c r="H71" i="81"/>
  <c r="O28" i="93"/>
  <c r="J86" i="83"/>
  <c r="L31" i="40"/>
  <c r="O28" i="71"/>
  <c r="D11" i="65"/>
  <c r="J57" i="44"/>
  <c r="G7" i="29"/>
  <c r="D8" i="56"/>
  <c r="I51" i="51"/>
  <c r="M36" i="62"/>
  <c r="E101" i="87"/>
  <c r="D70" i="47"/>
  <c r="M9" i="58"/>
  <c r="N46" i="51"/>
  <c r="L50" i="69"/>
  <c r="E92" i="80"/>
  <c r="F88" i="90"/>
  <c r="N77" i="72"/>
  <c r="N41" i="41"/>
  <c r="K45" i="57"/>
  <c r="E33" i="49"/>
  <c r="H9" i="66"/>
  <c r="L14" i="75"/>
  <c r="E65" i="41"/>
  <c r="J49" i="64"/>
  <c r="I53" i="56"/>
  <c r="D19" i="55"/>
  <c r="K104" i="26"/>
  <c r="H64" i="49"/>
  <c r="M12" i="82"/>
  <c r="G21" i="33"/>
  <c r="E17" i="66"/>
  <c r="D25" i="54"/>
  <c r="I68" i="81"/>
  <c r="M59" i="47"/>
  <c r="D53" i="27"/>
  <c r="N104" i="80"/>
  <c r="I58" i="86"/>
  <c r="F103" i="27"/>
  <c r="O34" i="92"/>
  <c r="L8" i="67"/>
  <c r="O32" i="51"/>
  <c r="G55" i="56"/>
  <c r="M19" i="29"/>
  <c r="F12" i="61"/>
  <c r="J76" i="56"/>
  <c r="F26" i="67"/>
  <c r="H18" i="91"/>
  <c r="G104" i="48"/>
  <c r="H65" i="35"/>
  <c r="F44" i="75"/>
  <c r="CE42" i="3"/>
  <c r="N18" i="68"/>
  <c r="J19" i="41"/>
  <c r="I46" i="44"/>
  <c r="O86" i="30"/>
  <c r="N27" i="68"/>
  <c r="F64" i="73"/>
  <c r="K8" i="76"/>
  <c r="G83" i="83"/>
  <c r="L8" i="40"/>
  <c r="N56" i="90"/>
  <c r="D22" i="58"/>
  <c r="D77" i="35"/>
  <c r="J37" i="55"/>
  <c r="H73" i="76"/>
  <c r="H34" i="82"/>
  <c r="N38" i="44"/>
  <c r="L67" i="39"/>
  <c r="O19" i="61"/>
  <c r="G23" i="91"/>
  <c r="M65" i="41"/>
  <c r="F26" i="42"/>
  <c r="E20" i="59"/>
  <c r="L86" i="84"/>
  <c r="I48" i="44"/>
  <c r="H39" i="81"/>
  <c r="K67" i="93"/>
  <c r="F22" i="50"/>
  <c r="I23" i="73"/>
  <c r="O101" i="55"/>
  <c r="F94"/>
  <c r="D57" i="29"/>
  <c r="F80"/>
  <c r="D71" i="50"/>
  <c r="I58" i="47"/>
  <c r="N44" i="55"/>
  <c r="M26" i="89"/>
  <c r="G15" i="55"/>
  <c r="H57" i="77"/>
  <c r="L7" i="92"/>
  <c r="E94" i="48"/>
  <c r="G54" i="62"/>
  <c r="F61" i="29"/>
  <c r="O21" i="26"/>
  <c r="E80" i="74"/>
  <c r="E23" i="64"/>
  <c r="J37" i="61"/>
  <c r="K26" i="66"/>
  <c r="K85" i="54"/>
  <c r="K41" i="67"/>
  <c r="F53" i="70"/>
  <c r="F92" i="67"/>
  <c r="G70" i="40"/>
  <c r="H77" i="27"/>
  <c r="H97" i="34"/>
  <c r="F4" i="38"/>
  <c r="M71" i="30"/>
  <c r="M54" i="73"/>
  <c r="D52" i="27"/>
  <c r="D43" i="45"/>
  <c r="J17" i="38"/>
  <c r="O39" i="80"/>
  <c r="I25" i="26"/>
  <c r="I74" i="30"/>
  <c r="N85" i="78"/>
  <c r="E43" i="77"/>
  <c r="K19" i="68"/>
  <c r="H19" i="33"/>
  <c r="K50" i="46"/>
  <c r="H12" i="86"/>
  <c r="D41" i="41"/>
  <c r="G82" i="87"/>
  <c r="H74" i="80"/>
  <c r="K51" i="27"/>
  <c r="K55" i="81"/>
  <c r="H52" i="54"/>
  <c r="M74" i="73"/>
  <c r="D26" i="71"/>
  <c r="D76" i="63"/>
  <c r="H47" i="71"/>
  <c r="J33"/>
  <c r="M86" i="44"/>
  <c r="D33" i="32"/>
  <c r="H57" i="45"/>
  <c r="D6" i="74"/>
  <c r="H33" i="62"/>
  <c r="I101" i="40"/>
  <c r="E43" i="34"/>
  <c r="H5" i="87"/>
  <c r="G10" i="65"/>
  <c r="M4" i="36"/>
  <c r="N58" i="40"/>
  <c r="D16" i="58"/>
  <c r="E22" i="87"/>
  <c r="G36" i="51"/>
  <c r="E80" i="65"/>
  <c r="E4" i="59"/>
  <c r="F97" i="43"/>
  <c r="O49" i="64"/>
  <c r="K42" i="38"/>
  <c r="K38" i="86"/>
  <c r="I51" i="32"/>
  <c r="E10" i="48"/>
  <c r="N18" i="64"/>
  <c r="I65" i="65"/>
  <c r="E92" i="78"/>
  <c r="J9" i="66"/>
  <c r="N28" i="30"/>
  <c r="O49" i="91"/>
  <c r="F9" i="83"/>
  <c r="O32" i="76"/>
  <c r="N32" i="80"/>
  <c r="N57" i="84"/>
  <c r="O32" i="81"/>
  <c r="K91" i="44"/>
  <c r="I101" i="80"/>
  <c r="L4" i="56"/>
  <c r="L92" i="63"/>
  <c r="C23" i="22"/>
  <c r="G104" i="91"/>
  <c r="N53" i="68"/>
  <c r="I101" i="59"/>
  <c r="K64" i="70"/>
  <c r="H58" i="32"/>
  <c r="K18" i="76"/>
  <c r="E10" i="89"/>
  <c r="J88" i="27"/>
  <c r="N98" i="30"/>
  <c r="K25" i="53"/>
  <c r="D62" i="32"/>
  <c r="D9" i="40"/>
  <c r="G57" i="26"/>
  <c r="H107" i="65"/>
  <c r="D101" i="27"/>
  <c r="N42" i="86"/>
  <c r="L22" i="75"/>
  <c r="G49" i="85"/>
  <c r="J59" i="70"/>
  <c r="L103" i="68"/>
  <c r="I40" i="69"/>
  <c r="O56" i="63"/>
  <c r="D9" i="72"/>
  <c r="L45" i="66"/>
  <c r="D10" i="84"/>
  <c r="E35" i="62"/>
  <c r="E101" i="35"/>
  <c r="H14" i="83"/>
  <c r="I82" i="57"/>
  <c r="O58" i="66"/>
  <c r="H43" i="85"/>
  <c r="J56" i="29"/>
  <c r="M94" i="66"/>
  <c r="H92" i="32"/>
  <c r="M106"/>
  <c r="K76" i="46"/>
  <c r="K36" i="59"/>
  <c r="BN32" i="3"/>
  <c r="D103" i="34"/>
  <c r="E7" i="61"/>
  <c r="CG75" i="3"/>
  <c r="E100" i="38"/>
  <c r="H24" i="32"/>
  <c r="N54" i="65"/>
  <c r="D62" i="79"/>
  <c r="H53" i="40"/>
  <c r="O80" i="41"/>
  <c r="K54" i="61"/>
  <c r="CK63" i="3"/>
  <c r="H23" i="25"/>
  <c r="D80" i="35"/>
  <c r="E62" i="91"/>
  <c r="F22" i="55"/>
  <c r="H77" i="83"/>
  <c r="D103" i="47"/>
  <c r="J38" i="77"/>
  <c r="D18" i="61"/>
  <c r="E38" i="49"/>
  <c r="O70" i="26"/>
  <c r="J32" i="19"/>
  <c r="F61" i="79"/>
  <c r="H58" i="83"/>
  <c r="M15" i="45"/>
  <c r="M30" i="65"/>
  <c r="D62" i="59"/>
  <c r="H49" i="57"/>
  <c r="K5" i="75"/>
  <c r="N82" i="51"/>
  <c r="M65" i="76"/>
  <c r="D65" i="71"/>
  <c r="L30" i="45"/>
  <c r="M31" i="35"/>
  <c r="H5" i="38"/>
  <c r="K23" i="69"/>
  <c r="L11" i="70"/>
  <c r="M9" i="45"/>
  <c r="L56" i="76"/>
  <c r="I39" i="84"/>
  <c r="I79" i="52"/>
  <c r="E12" i="69"/>
  <c r="I6" i="45"/>
  <c r="O37" i="68"/>
  <c r="G56" i="47"/>
  <c r="E85" i="82"/>
  <c r="I6" i="58"/>
  <c r="M9" i="33"/>
  <c r="G14" i="65"/>
  <c r="J13" i="92"/>
  <c r="M70" i="78"/>
  <c r="F42" i="48"/>
  <c r="E31" i="69"/>
  <c r="G27" i="39"/>
  <c r="J34" i="79"/>
  <c r="O85" i="61"/>
  <c r="F76" i="47"/>
  <c r="N33" i="36"/>
  <c r="M80" i="38"/>
  <c r="L28" i="60"/>
  <c r="O10" i="62"/>
  <c r="J97" i="81"/>
  <c r="E76" i="38"/>
  <c r="K104" i="75"/>
  <c r="H50" i="41"/>
  <c r="D16" i="27"/>
  <c r="O33" i="38"/>
  <c r="J104" i="89"/>
  <c r="G83" i="64"/>
  <c r="O48" i="40"/>
  <c r="D11" i="73"/>
  <c r="O62" i="19"/>
  <c r="F85" i="26"/>
  <c r="K79" i="62"/>
  <c r="K10" i="39"/>
  <c r="F30" i="32"/>
  <c r="E47" i="43"/>
  <c r="G48" i="53"/>
  <c r="K103" i="54"/>
  <c r="H32" i="64"/>
  <c r="F92" i="90"/>
  <c r="G10" i="19"/>
  <c r="I70" i="72"/>
  <c r="G8" i="45"/>
  <c r="J104" i="83"/>
  <c r="I34" i="35"/>
  <c r="G64" i="40"/>
  <c r="H54" i="67"/>
  <c r="M57" i="48"/>
  <c r="H86" i="71"/>
  <c r="F103" i="46"/>
  <c r="G42" i="68"/>
  <c r="N36" i="32"/>
  <c r="N37" i="58"/>
  <c r="J15" i="81"/>
  <c r="E24" i="74"/>
  <c r="M28" i="69"/>
  <c r="E17" i="76"/>
  <c r="K22" i="67"/>
  <c r="K56" i="32"/>
  <c r="H89" i="77"/>
  <c r="E48" i="73"/>
  <c r="O64" i="75"/>
  <c r="J79" i="66"/>
  <c r="O64" i="33"/>
  <c r="I24" i="65"/>
  <c r="M101"/>
  <c r="D50" i="67"/>
  <c r="E49" i="60"/>
  <c r="J79" i="51"/>
  <c r="H67" i="47"/>
  <c r="F54" i="50"/>
  <c r="O83" i="44"/>
  <c r="H68" i="60"/>
  <c r="G97" i="84"/>
  <c r="O12" i="77"/>
  <c r="G50" i="30"/>
  <c r="N89" i="80"/>
  <c r="L47" i="77"/>
  <c r="D15" i="67"/>
  <c r="I13" i="71"/>
  <c r="D22" i="63"/>
  <c r="K74" i="73"/>
  <c r="E83" i="46"/>
  <c r="O25" i="30"/>
  <c r="L8" i="68"/>
  <c r="D34" i="35"/>
  <c r="L35" i="32"/>
  <c r="F5" i="57"/>
  <c r="I49" i="33"/>
  <c r="H86" i="26"/>
  <c r="H106" i="91"/>
  <c r="L61" i="73"/>
  <c r="D7" i="75"/>
  <c r="K76" i="30"/>
  <c r="N12" i="34"/>
  <c r="L18" i="59"/>
  <c r="N100" i="81"/>
  <c r="I107" i="34"/>
  <c r="N37" i="77"/>
  <c r="N38" i="80"/>
  <c r="D21" i="57"/>
  <c r="K35"/>
  <c r="M44" i="78"/>
  <c r="L68" i="43"/>
  <c r="N32" i="77"/>
  <c r="F67" i="67"/>
  <c r="H18" i="27"/>
  <c r="O58" i="48"/>
  <c r="N6" i="67"/>
  <c r="K43" i="81"/>
  <c r="H74"/>
  <c r="K91" i="27"/>
  <c r="M54"/>
  <c r="K42" i="59"/>
  <c r="I85" i="72"/>
  <c r="L79" i="34"/>
  <c r="H11" i="68"/>
  <c r="O24" i="25"/>
  <c r="L82" i="65"/>
  <c r="D62" i="33"/>
  <c r="M9" i="72"/>
  <c r="E29" i="46"/>
  <c r="E38" i="71"/>
  <c r="L88" i="45"/>
  <c r="L4" i="26"/>
  <c r="G19" i="48"/>
  <c r="K83" i="67"/>
  <c r="O77" i="45"/>
  <c r="G15" i="80"/>
  <c r="G85" i="89"/>
  <c r="L62"/>
  <c r="H5" i="63"/>
  <c r="H36" i="41"/>
  <c r="J89" i="84"/>
  <c r="J95" i="69"/>
  <c r="G33" i="73"/>
  <c r="O54" i="75"/>
  <c r="G30" i="50"/>
  <c r="H67" i="51"/>
  <c r="D12" i="67"/>
  <c r="E13" i="53"/>
  <c r="L6" i="81"/>
  <c r="G47" i="19"/>
  <c r="M91" i="56"/>
  <c r="J104" i="51"/>
  <c r="F37" i="84"/>
  <c r="N16" i="63"/>
  <c r="I57" i="39"/>
  <c r="I53" i="26"/>
  <c r="J52" i="66"/>
  <c r="K36" i="49"/>
  <c r="I89" i="44"/>
  <c r="L62" i="70"/>
  <c r="I30" i="69"/>
  <c r="G39" i="34"/>
  <c r="H76" i="39"/>
  <c r="L77" i="83"/>
  <c r="I48" i="56"/>
  <c r="L11" i="46"/>
  <c r="G9" i="62"/>
  <c r="O38" i="78"/>
  <c r="O10" i="61"/>
  <c r="D11" i="93"/>
  <c r="N51" i="62"/>
  <c r="N76" i="92"/>
  <c r="D29" i="55"/>
  <c r="F21" i="53"/>
  <c r="F15" i="65"/>
  <c r="H53" i="84"/>
  <c r="F106" i="91"/>
  <c r="M56" i="41"/>
  <c r="F16" i="69"/>
  <c r="I21" i="65"/>
  <c r="L38" i="47"/>
  <c r="G21" i="79"/>
  <c r="N17" i="76"/>
  <c r="F85" i="87"/>
  <c r="J49" i="73"/>
  <c r="O92" i="26"/>
  <c r="O12" i="75"/>
  <c r="I41" i="44"/>
  <c r="J7" i="67"/>
  <c r="O53" i="49"/>
  <c r="G36" i="87"/>
  <c r="O35" i="92"/>
  <c r="F88" i="56"/>
  <c r="F10" i="70"/>
  <c r="M100" i="73"/>
  <c r="I15" i="91"/>
  <c r="M49" i="51"/>
  <c r="F91" i="67"/>
  <c r="O19" i="63"/>
  <c r="E43"/>
  <c r="D54" i="81"/>
  <c r="I61" i="71"/>
  <c r="O61" i="26"/>
  <c r="M59" i="30"/>
  <c r="M76" i="49"/>
  <c r="M55" i="25"/>
  <c r="J89" i="67"/>
  <c r="L21"/>
  <c r="K11" i="33"/>
  <c r="D64" i="60"/>
  <c r="M16" i="71"/>
  <c r="F35" i="30"/>
  <c r="I59" i="59"/>
  <c r="N34" i="55"/>
  <c r="N11" i="32"/>
  <c r="F48" i="84"/>
  <c r="N10" i="58"/>
  <c r="E32" i="64"/>
  <c r="J19" i="51"/>
  <c r="I50" i="80"/>
  <c r="D56" i="59"/>
  <c r="K27" i="58"/>
  <c r="L77" i="92"/>
  <c r="F41" i="90"/>
  <c r="D94" i="46"/>
  <c r="K13" i="27"/>
  <c r="M74" i="39"/>
  <c r="K25" i="44"/>
  <c r="O43" i="62"/>
  <c r="H46" i="50"/>
  <c r="N19" i="64"/>
  <c r="I22" i="93"/>
  <c r="E42" i="53"/>
  <c r="F57" i="81"/>
  <c r="O5" i="68"/>
  <c r="D107" i="51"/>
  <c r="D57" i="63"/>
  <c r="G98" i="81"/>
  <c r="H107" i="58"/>
  <c r="J6" i="77"/>
  <c r="J11" i="79"/>
  <c r="D16" i="57"/>
  <c r="J95" i="25"/>
  <c r="E70" i="55"/>
  <c r="I51" i="27"/>
  <c r="D107" i="71"/>
  <c r="F67" i="89"/>
  <c r="O80" i="43"/>
  <c r="E80" i="44"/>
  <c r="I83" i="86"/>
  <c r="O37" i="82"/>
  <c r="M42" i="55"/>
  <c r="O22" i="84"/>
  <c r="D31" i="35"/>
  <c r="L35" i="89"/>
  <c r="F68" i="63"/>
  <c r="D9" i="38"/>
  <c r="N74" i="26"/>
  <c r="N23" i="53"/>
  <c r="E23" i="26"/>
  <c r="K40" i="41"/>
  <c r="O5" i="49"/>
  <c r="E39" i="67"/>
  <c r="K19" i="84"/>
  <c r="L27" i="46"/>
  <c r="O56" i="38"/>
  <c r="E67" i="80"/>
  <c r="K88" i="90"/>
  <c r="J56" i="80"/>
  <c r="F28" i="19"/>
  <c r="K10" i="81"/>
  <c r="E40" i="76"/>
  <c r="J42" i="67"/>
  <c r="F58" i="90"/>
  <c r="G30" i="30"/>
  <c r="K5" i="51"/>
  <c r="K37" i="78"/>
  <c r="M83" i="34"/>
  <c r="N25" i="46"/>
  <c r="F41" i="61"/>
  <c r="O48" i="45"/>
  <c r="J6" i="54"/>
  <c r="F42" i="74"/>
  <c r="F50" i="81"/>
  <c r="I39" i="83"/>
  <c r="L64" i="78"/>
  <c r="E36" i="69"/>
  <c r="I49" i="70"/>
  <c r="K92" i="30"/>
  <c r="M76" i="32"/>
  <c r="J97" i="56"/>
  <c r="N4" i="91"/>
  <c r="F31" i="25"/>
  <c r="K22" i="26"/>
  <c r="F95" i="52"/>
  <c r="I73" i="47"/>
  <c r="O10" i="86"/>
  <c r="N73" i="64"/>
  <c r="J30" i="48"/>
  <c r="L64" i="35"/>
  <c r="N89" i="33"/>
  <c r="I17" i="81"/>
  <c r="E11" i="80"/>
  <c r="D29" i="63"/>
  <c r="H35" i="50"/>
  <c r="E51" i="70"/>
  <c r="N35" i="63"/>
  <c r="G45" i="54"/>
  <c r="O104" i="89"/>
  <c r="M101" i="58"/>
  <c r="F27" i="94"/>
  <c r="I44" i="69"/>
  <c r="G103" i="74"/>
  <c r="L45" i="86"/>
  <c r="L13" i="48"/>
  <c r="M100" i="83"/>
  <c r="D88" i="34"/>
  <c r="M22" i="63"/>
  <c r="E18" i="54"/>
  <c r="G79" i="46"/>
  <c r="K62" i="74"/>
  <c r="K12" i="81"/>
  <c r="L61" i="70"/>
  <c r="M17" i="75"/>
  <c r="K17" i="33"/>
  <c r="M11" i="80"/>
  <c r="G68" i="19"/>
  <c r="O100" i="82"/>
  <c r="I98" i="35"/>
  <c r="I73" i="48"/>
  <c r="F79" i="46"/>
  <c r="G44" i="36"/>
  <c r="I34" i="42"/>
  <c r="L10" i="72"/>
  <c r="N45" i="81"/>
  <c r="O51" i="87"/>
  <c r="G44" i="33"/>
  <c r="O53" i="87"/>
  <c r="M50" i="29"/>
  <c r="L55" i="34"/>
  <c r="J77" i="65"/>
  <c r="G31" i="93"/>
  <c r="J89" i="36"/>
  <c r="L34" i="34"/>
  <c r="D19" i="45"/>
  <c r="N27" i="89"/>
  <c r="O34" i="94"/>
  <c r="K37" i="84"/>
  <c r="N59" i="68"/>
  <c r="K22"/>
  <c r="K9" i="38"/>
  <c r="L33" i="44"/>
  <c r="D98" i="58"/>
  <c r="N77" i="71"/>
  <c r="G64" i="86"/>
  <c r="F8" i="67"/>
  <c r="I91" i="19"/>
  <c r="K15" i="46"/>
  <c r="O48" i="94"/>
  <c r="D7" i="82"/>
  <c r="E41" i="94"/>
  <c r="L37" i="69"/>
  <c r="G94" i="71"/>
  <c r="H70" i="48"/>
  <c r="K76" i="62"/>
  <c r="H100" i="87"/>
  <c r="M85" i="46"/>
  <c r="K104" i="62"/>
  <c r="K57" i="90"/>
  <c r="M11" i="34"/>
  <c r="M42" i="51"/>
  <c r="G94" i="62"/>
  <c r="K68" i="73"/>
  <c r="N77" i="91"/>
  <c r="K85" i="46"/>
  <c r="J71" i="62"/>
  <c r="L59" i="59"/>
  <c r="D4" i="50"/>
  <c r="E50" i="71"/>
  <c r="K85" i="45"/>
  <c r="I62" i="81"/>
  <c r="D80" i="63"/>
  <c r="D82" i="50"/>
  <c r="J65" i="70"/>
  <c r="J82" i="64"/>
  <c r="O103" i="48"/>
  <c r="E26" i="66"/>
  <c r="H41" i="26"/>
  <c r="G42" i="79"/>
  <c r="O57" i="29"/>
  <c r="N26" i="54"/>
  <c r="L12" i="63"/>
  <c r="G48" i="83"/>
  <c r="J47" i="35"/>
  <c r="E45" i="47"/>
  <c r="I73" i="19"/>
  <c r="E49" i="69"/>
  <c r="E57" i="36"/>
  <c r="H94" i="57"/>
  <c r="K6" i="60"/>
  <c r="K86" i="51"/>
  <c r="E106" i="71"/>
  <c r="H33" i="44"/>
  <c r="D79" i="68"/>
  <c r="J76" i="63"/>
  <c r="H21" i="85"/>
  <c r="D38" i="41"/>
  <c r="E48" i="52"/>
  <c r="D54" i="53"/>
  <c r="H82" i="56"/>
  <c r="E16" i="58"/>
  <c r="J103" i="93"/>
  <c r="J16" i="53"/>
  <c r="O51" i="48"/>
  <c r="K52" i="82"/>
  <c r="D58" i="87"/>
  <c r="E18" i="76"/>
  <c r="J15" i="86"/>
  <c r="I57" i="72"/>
  <c r="D4" i="57"/>
  <c r="M20" i="59"/>
  <c r="L10" i="39"/>
  <c r="F38" i="80"/>
  <c r="F107" i="46"/>
  <c r="G70" i="57"/>
  <c r="M98" i="63"/>
  <c r="G86" i="83"/>
  <c r="M43" i="84"/>
  <c r="N14" i="40"/>
  <c r="D70" i="60"/>
  <c r="G106" i="80"/>
  <c r="K70" i="55"/>
  <c r="G6" i="46"/>
  <c r="O20" i="56"/>
  <c r="I42" i="59"/>
  <c r="E15" i="70"/>
  <c r="F101" i="61"/>
  <c r="O28" i="45"/>
  <c r="N24" i="19"/>
  <c r="L59" i="43"/>
  <c r="O79" i="39"/>
  <c r="O47" i="27"/>
  <c r="H88" i="61"/>
  <c r="M61" i="56"/>
  <c r="D97" i="60"/>
  <c r="H34" i="91"/>
  <c r="G62" i="68"/>
  <c r="M11" i="48"/>
  <c r="K32" i="29"/>
  <c r="D24" i="19"/>
  <c r="O13" i="34"/>
  <c r="K49" i="59"/>
  <c r="D47" i="61"/>
  <c r="H80" i="84"/>
  <c r="J35" i="72"/>
  <c r="E12" i="29"/>
  <c r="L31" i="51"/>
  <c r="I30" i="35"/>
  <c r="I24" i="92"/>
  <c r="J85" i="64"/>
  <c r="H67" i="26"/>
  <c r="O7" i="66"/>
  <c r="O85" i="27"/>
  <c r="L76" i="63"/>
  <c r="D46" i="85"/>
  <c r="G24" i="81"/>
  <c r="K103" i="35"/>
  <c r="H31" i="67"/>
  <c r="H51" i="65"/>
  <c r="M17" i="70"/>
  <c r="G58" i="27"/>
  <c r="K74" i="35"/>
  <c r="G65" i="68"/>
  <c r="H14" i="84"/>
  <c r="I82" i="49"/>
  <c r="G77" i="54"/>
  <c r="F40" i="74"/>
  <c r="F6" i="67"/>
  <c r="N13" i="59"/>
  <c r="M76" i="40"/>
  <c r="G28" i="76"/>
  <c r="M25" i="45"/>
  <c r="M47" i="32"/>
  <c r="D101" i="68"/>
  <c r="N23" i="80"/>
  <c r="G28" i="83"/>
  <c r="I48" i="69"/>
  <c r="G82" i="92"/>
  <c r="N77" i="55"/>
  <c r="G35" i="63"/>
  <c r="F100" i="87"/>
  <c r="CG65" i="3"/>
  <c r="F14" i="70"/>
  <c r="N92" i="29"/>
  <c r="F39" i="80"/>
  <c r="I37" i="43"/>
  <c r="H8" i="19"/>
  <c r="D80" i="51"/>
  <c r="D107" i="89"/>
  <c r="J17" i="50"/>
  <c r="M23" i="40"/>
  <c r="G79" i="66"/>
  <c r="D91" i="76"/>
  <c r="D86" i="29"/>
  <c r="J48" i="39"/>
  <c r="K25" i="34"/>
  <c r="D51" i="59"/>
  <c r="D29" i="57"/>
  <c r="O95" i="64"/>
  <c r="E106" i="83"/>
  <c r="K23" i="94"/>
  <c r="D80" i="66"/>
  <c r="N71" i="49"/>
  <c r="G31" i="77"/>
  <c r="N56" i="62"/>
  <c r="G83" i="29"/>
  <c r="F71" i="93"/>
  <c r="O68" i="33"/>
  <c r="G46" i="68"/>
  <c r="D42" i="69"/>
  <c r="D88" i="81"/>
  <c r="G82" i="46"/>
  <c r="N12" i="57"/>
  <c r="G23" i="79"/>
  <c r="L25" i="94"/>
  <c r="D104" i="61"/>
  <c r="G43" i="49"/>
  <c r="I86" i="38"/>
  <c r="CI43" i="3"/>
  <c r="E89" i="94"/>
  <c r="G4" i="77"/>
  <c r="I33" i="55"/>
  <c r="O89" i="19"/>
  <c r="I64" i="93"/>
  <c r="F77" i="59"/>
  <c r="L104" i="80"/>
  <c r="K44" i="89"/>
  <c r="I12" i="96"/>
  <c r="D32" i="85"/>
  <c r="E43" i="67"/>
  <c r="F12" i="75"/>
  <c r="N73" i="45"/>
  <c r="I53" i="49"/>
  <c r="J70" i="34"/>
  <c r="L68" i="19"/>
  <c r="O46" i="51"/>
  <c r="E86" i="27"/>
  <c r="I27" i="91"/>
  <c r="K64" i="69"/>
  <c r="D95" i="80"/>
  <c r="H18" i="33"/>
  <c r="J21" i="80"/>
  <c r="H64" i="51"/>
  <c r="K68" i="27"/>
  <c r="E19" i="79"/>
  <c r="N6" i="75"/>
  <c r="N19" i="54"/>
  <c r="K77" i="93"/>
  <c r="N40" i="27"/>
  <c r="O36" i="84"/>
  <c r="L58" i="34"/>
  <c r="I29" i="62"/>
  <c r="N54" i="68"/>
  <c r="E12" i="83"/>
  <c r="K106" i="47"/>
  <c r="E50" i="62"/>
  <c r="J41" i="56"/>
  <c r="F18" i="87"/>
  <c r="E86" i="90"/>
  <c r="N94" i="49"/>
  <c r="K53" i="77"/>
  <c r="G83" i="63"/>
  <c r="K43" i="82"/>
  <c r="L55" i="32"/>
  <c r="J61" i="56"/>
  <c r="O38" i="51"/>
  <c r="K91" i="86"/>
  <c r="J101" i="94"/>
  <c r="I26" i="77"/>
  <c r="G29" i="70"/>
  <c r="H19" i="86"/>
  <c r="E86" i="83"/>
  <c r="L47" i="43"/>
  <c r="K61" i="59"/>
  <c r="E86" i="65"/>
  <c r="D25" i="44"/>
  <c r="O107" i="60"/>
  <c r="D106" i="56"/>
  <c r="G25" i="47"/>
  <c r="I44" i="34"/>
  <c r="K21" i="76"/>
  <c r="O65" i="49"/>
  <c r="E98" i="32"/>
  <c r="K6" i="77"/>
  <c r="N70" i="51"/>
  <c r="L9" i="56"/>
  <c r="E55" i="47"/>
  <c r="E14" i="72"/>
  <c r="H107" i="68"/>
  <c r="O101" i="65"/>
  <c r="L70" i="77"/>
  <c r="O54" i="30"/>
  <c r="CI73" i="3"/>
  <c r="I37" i="76"/>
  <c r="O17" i="69"/>
  <c r="H11" i="83"/>
  <c r="O79" i="84"/>
  <c r="O71" i="26"/>
  <c r="I88" i="38"/>
  <c r="E80" i="83"/>
  <c r="N89" i="78"/>
  <c r="H80" i="26"/>
  <c r="N56" i="91"/>
  <c r="G20" i="50"/>
  <c r="J82" i="33"/>
  <c r="K17" i="61"/>
  <c r="E29" i="80"/>
  <c r="H67" i="43"/>
  <c r="I33" i="82"/>
  <c r="H65" i="54"/>
  <c r="G39" i="35"/>
  <c r="H6" i="74"/>
  <c r="M89" i="68"/>
  <c r="D58" i="62"/>
  <c r="F56" i="64"/>
  <c r="O23" i="57"/>
  <c r="H47" i="93"/>
  <c r="C38" i="22"/>
  <c r="H33" i="68"/>
  <c r="E68"/>
  <c r="I83" i="69"/>
  <c r="L67" i="84"/>
  <c r="I32" i="61"/>
  <c r="F18" i="58"/>
  <c r="M56" i="60"/>
  <c r="I64" i="47"/>
  <c r="M27" i="91"/>
  <c r="I101" i="62"/>
  <c r="N82" i="56"/>
  <c r="I20" i="59"/>
  <c r="L46" i="89"/>
  <c r="H92"/>
  <c r="F33" i="58"/>
  <c r="I12" i="70"/>
  <c r="L17" i="87"/>
  <c r="F9" i="73"/>
  <c r="G59" i="82"/>
  <c r="D89" i="66"/>
  <c r="H106" i="69"/>
  <c r="L70" i="89"/>
  <c r="K77" i="44"/>
  <c r="L79" i="77"/>
  <c r="N67" i="70"/>
  <c r="G27" i="75"/>
  <c r="I85" i="76"/>
  <c r="M10" i="56"/>
  <c r="F62" i="87"/>
  <c r="G73" i="72"/>
  <c r="H73" i="39"/>
  <c r="F88" i="61"/>
  <c r="D12" i="45"/>
  <c r="F74" i="79"/>
  <c r="K32" i="72"/>
  <c r="O18" i="38"/>
  <c r="G14" i="74"/>
  <c r="E57" i="35"/>
  <c r="D13" i="55"/>
  <c r="M88" i="63"/>
  <c r="G36" i="33"/>
  <c r="M15" i="51"/>
  <c r="O44" i="94"/>
  <c r="E44" i="75"/>
  <c r="M57" i="45"/>
  <c r="K88" i="61"/>
  <c r="D53" i="62"/>
  <c r="H55" i="83"/>
  <c r="I83" i="73"/>
  <c r="I67" i="92"/>
  <c r="K41" i="44"/>
  <c r="D9" i="67"/>
  <c r="O38" i="44"/>
  <c r="E73" i="92"/>
  <c r="H10" i="32"/>
  <c r="G43" i="54"/>
  <c r="F80" i="75"/>
  <c r="N12" i="54"/>
  <c r="F19" i="66"/>
  <c r="G80" i="71"/>
  <c r="F18" i="35"/>
  <c r="L82" i="93"/>
  <c r="M76" i="38"/>
  <c r="D25" i="45"/>
  <c r="M70" i="69"/>
  <c r="H6" i="65"/>
  <c r="O88" i="82"/>
  <c r="K46" i="55"/>
  <c r="E44" i="59"/>
  <c r="D106" i="41"/>
  <c r="F6" i="42"/>
  <c r="G62" i="59"/>
  <c r="I40" i="60"/>
  <c r="N53" i="48"/>
  <c r="L100" i="86"/>
  <c r="F16" i="93"/>
  <c r="F38" i="59"/>
  <c r="E46" i="53"/>
  <c r="G85" i="65"/>
  <c r="I53" i="54"/>
  <c r="H49" i="60"/>
  <c r="G65" i="66"/>
  <c r="D24" i="41"/>
  <c r="F32" i="53"/>
  <c r="H35" i="36"/>
  <c r="G80" i="70"/>
  <c r="M106" i="73"/>
  <c r="N89" i="87"/>
  <c r="L57" i="47"/>
  <c r="K11" i="72"/>
  <c r="K4" i="87"/>
  <c r="E24" i="34"/>
  <c r="H29" i="60"/>
  <c r="H58" i="44"/>
  <c r="I17" i="25"/>
  <c r="CI62" i="3"/>
  <c r="M91" i="48"/>
  <c r="J103" i="27"/>
  <c r="L94" i="41"/>
  <c r="L45" i="89"/>
  <c r="N42" i="60"/>
  <c r="G101" i="48"/>
  <c r="K20" i="68"/>
  <c r="L52" i="48"/>
  <c r="H43" i="65"/>
  <c r="G40" i="83"/>
  <c r="D106" i="59"/>
  <c r="K46" i="19"/>
  <c r="G85" i="50"/>
  <c r="G6" i="68"/>
  <c r="G57" i="56"/>
  <c r="N56" i="63"/>
  <c r="M77" i="58"/>
  <c r="J77" i="81"/>
  <c r="E53" i="68"/>
  <c r="D107" i="67"/>
  <c r="L80" i="68"/>
  <c r="J28" i="41"/>
  <c r="O21" i="56"/>
  <c r="E67" i="91"/>
  <c r="F4" i="66"/>
  <c r="N71" i="90"/>
  <c r="E100" i="51"/>
  <c r="G21" i="87"/>
  <c r="C16" i="22"/>
  <c r="G62" i="94"/>
  <c r="E77" i="85"/>
  <c r="I34" i="45"/>
  <c r="D41" i="40"/>
  <c r="O49" i="90"/>
  <c r="I61" i="50"/>
  <c r="K20" i="33"/>
  <c r="G9" i="34"/>
  <c r="J31" i="63"/>
  <c r="N5" i="92"/>
  <c r="G32" i="54"/>
  <c r="M57" i="56"/>
  <c r="N101" i="94"/>
  <c r="I26" i="81"/>
  <c r="O57" i="90"/>
  <c r="D67" i="55"/>
  <c r="I23" i="92"/>
  <c r="K15" i="58"/>
  <c r="E103" i="71"/>
  <c r="M41" i="26"/>
  <c r="O82" i="92"/>
  <c r="K100" i="40"/>
  <c r="I106" i="61"/>
  <c r="E39" i="26"/>
  <c r="M70" i="44"/>
  <c r="E59" i="84"/>
  <c r="D49" i="43"/>
  <c r="O31" i="41"/>
  <c r="K14" i="40"/>
  <c r="D6" i="46"/>
  <c r="J18" i="91"/>
  <c r="I28" i="94"/>
  <c r="M100" i="91"/>
  <c r="N22" i="53"/>
  <c r="G41" i="43"/>
  <c r="D80" i="80"/>
  <c r="M71" i="82"/>
  <c r="M67" i="66"/>
  <c r="G46" i="19"/>
  <c r="M61" i="92"/>
  <c r="K68" i="89"/>
  <c r="K15" i="54"/>
  <c r="F9" i="55"/>
  <c r="G16"/>
  <c r="M11" i="90"/>
  <c r="J44" i="45"/>
  <c r="G104" i="53"/>
  <c r="J22" i="78"/>
  <c r="F19" i="58"/>
  <c r="J51" i="79"/>
  <c r="N91" i="33"/>
  <c r="O74" i="60"/>
  <c r="N19" i="46"/>
  <c r="I37" i="84"/>
  <c r="N34" i="62"/>
  <c r="N25" i="27"/>
  <c r="H88" i="82"/>
  <c r="D7" i="46"/>
  <c r="O19" i="84"/>
  <c r="N46" i="30"/>
  <c r="E80" i="57"/>
  <c r="L57" i="38"/>
  <c r="G77" i="25"/>
  <c r="L80" i="94"/>
  <c r="F34" i="52"/>
  <c r="O94" i="78"/>
  <c r="F40" i="52"/>
  <c r="H6" i="34"/>
  <c r="F83" i="77"/>
  <c r="E92" i="64"/>
  <c r="K18" i="94"/>
  <c r="M64" i="72"/>
  <c r="H10" i="89"/>
  <c r="G14" i="64"/>
  <c r="K24" i="56"/>
  <c r="M10" i="80"/>
  <c r="G89" i="91"/>
  <c r="G82" i="84"/>
  <c r="D43" i="50"/>
  <c r="M4" i="43"/>
  <c r="F88" i="64"/>
  <c r="I62" i="57"/>
  <c r="G51" i="46"/>
  <c r="O36" i="47"/>
  <c r="L5" i="44"/>
  <c r="K89" i="40"/>
  <c r="K97" i="75"/>
  <c r="E51" i="68"/>
  <c r="J31"/>
  <c r="M13" i="63"/>
  <c r="L18" i="27"/>
  <c r="D11" i="26"/>
  <c r="L107" i="58"/>
  <c r="M26" i="43"/>
  <c r="L65" i="66"/>
  <c r="I16" i="65"/>
  <c r="K41" i="57"/>
  <c r="D7" i="76"/>
  <c r="N10"/>
  <c r="J13" i="30"/>
  <c r="L73" i="78"/>
  <c r="E59" i="43"/>
  <c r="H39" i="61"/>
  <c r="J11" i="29"/>
  <c r="N68" i="19"/>
  <c r="F4" i="51"/>
  <c r="J71" i="50"/>
  <c r="F39" i="90"/>
  <c r="N100" i="33"/>
  <c r="G18" i="65"/>
  <c r="N89" i="94"/>
  <c r="F88" i="53"/>
  <c r="K17" i="46"/>
  <c r="N5" i="87"/>
  <c r="F14" i="74"/>
  <c r="O68" i="92"/>
  <c r="I31" i="73"/>
  <c r="G19" i="76"/>
  <c r="G7" i="73"/>
  <c r="D62" i="89"/>
  <c r="N107" i="51"/>
  <c r="H33" i="35"/>
  <c r="I51" i="50"/>
  <c r="J82" i="36"/>
  <c r="N15" i="89"/>
  <c r="H107" i="56"/>
  <c r="F71" i="35"/>
  <c r="M18" i="55"/>
  <c r="I80" i="36"/>
  <c r="E70" i="64"/>
  <c r="O59" i="67"/>
  <c r="J38" i="34"/>
  <c r="J23" i="43"/>
  <c r="F32" i="38"/>
  <c r="L22" i="48"/>
  <c r="G104" i="92"/>
  <c r="I21" i="63"/>
  <c r="J16" i="47"/>
  <c r="E16" i="84"/>
  <c r="M28" i="68"/>
  <c r="K59" i="46"/>
  <c r="K40" i="27"/>
  <c r="K85" i="94"/>
  <c r="E94" i="46"/>
  <c r="I76" i="33"/>
  <c r="H4" i="36"/>
  <c r="L13" i="58"/>
  <c r="F80" i="74"/>
  <c r="O83" i="34"/>
  <c r="I6" i="60"/>
  <c r="K29" i="87"/>
  <c r="D106" i="85"/>
  <c r="D31" i="38"/>
  <c r="J19" i="30"/>
  <c r="M31" i="80"/>
  <c r="J92" i="49"/>
  <c r="L7" i="58"/>
  <c r="K46" i="35"/>
  <c r="N24" i="67"/>
  <c r="G40" i="44"/>
  <c r="M12" i="87"/>
  <c r="J70" i="75"/>
  <c r="H12" i="49"/>
  <c r="E47" i="73"/>
  <c r="N49" i="35"/>
  <c r="H38" i="41"/>
  <c r="L37"/>
  <c r="F29" i="19"/>
  <c r="K38" i="55"/>
  <c r="H49" i="93"/>
  <c r="M51" i="64"/>
  <c r="K76" i="36"/>
  <c r="E12" i="27"/>
  <c r="K73"/>
  <c r="F80" i="47"/>
  <c r="H42" i="65"/>
  <c r="N18" i="90"/>
  <c r="O62" i="94"/>
  <c r="K49" i="65"/>
  <c r="N58" i="43"/>
  <c r="G35" i="94"/>
  <c r="I28" i="72"/>
  <c r="G11" i="76"/>
  <c r="O58" i="39"/>
  <c r="E35" i="35"/>
  <c r="K33" i="36"/>
  <c r="O43" i="69"/>
  <c r="E98" i="62"/>
  <c r="H104" i="73"/>
  <c r="H20" i="94"/>
  <c r="K38" i="60"/>
  <c r="E106" i="39"/>
  <c r="C12" i="97"/>
  <c r="F42" i="46"/>
  <c r="D55" i="91"/>
  <c r="H85" i="67"/>
  <c r="G54" i="36"/>
  <c r="H34" i="69"/>
  <c r="K9" i="48"/>
  <c r="L57" i="26"/>
  <c r="E25" i="32"/>
  <c r="I91" i="49"/>
  <c r="J11" i="54"/>
  <c r="J71" i="78"/>
  <c r="D77" i="71"/>
  <c r="N44" i="65"/>
  <c r="K38" i="61"/>
  <c r="I68" i="70"/>
  <c r="D10" i="26"/>
  <c r="D52" i="69"/>
  <c r="L104" i="49"/>
  <c r="D22" i="39"/>
  <c r="D40" i="60"/>
  <c r="I45" i="39"/>
  <c r="K21" i="29"/>
  <c r="D98" i="65"/>
  <c r="K44" i="86"/>
  <c r="M38" i="72"/>
  <c r="K107" i="41"/>
  <c r="E56" i="80"/>
  <c r="D7" i="62"/>
  <c r="G32" i="71"/>
  <c r="O54" i="41"/>
  <c r="F77" i="72"/>
  <c r="J83"/>
  <c r="D103" i="94"/>
  <c r="M6" i="76"/>
  <c r="K101" i="83"/>
  <c r="N16" i="59"/>
  <c r="D34" i="81"/>
  <c r="J53" i="41"/>
  <c r="G35" i="78"/>
  <c r="O77" i="74"/>
  <c r="G27" i="26"/>
  <c r="H65" i="36"/>
  <c r="G46" i="51"/>
  <c r="N95" i="66"/>
  <c r="E31" i="74"/>
  <c r="D82" i="33"/>
  <c r="M26" i="26"/>
  <c r="E107" i="85"/>
  <c r="M71" i="39"/>
  <c r="D64" i="82"/>
  <c r="J23" i="60"/>
  <c r="I22" i="50"/>
  <c r="J82" i="44"/>
  <c r="J12" i="87"/>
  <c r="H13" i="92"/>
  <c r="G62" i="67"/>
  <c r="K62" i="83"/>
  <c r="K100" i="81"/>
  <c r="L101" i="47"/>
  <c r="M16" i="83"/>
  <c r="H48" i="60"/>
  <c r="G51" i="35"/>
  <c r="M17" i="27"/>
  <c r="I16" i="71"/>
  <c r="I27" i="26"/>
  <c r="E100" i="50"/>
  <c r="N54" i="26"/>
  <c r="M56" i="33"/>
  <c r="F35" i="81"/>
  <c r="L27" i="61"/>
  <c r="D44" i="90"/>
  <c r="M82" i="66"/>
  <c r="CL75" i="3"/>
  <c r="N38" i="43"/>
  <c r="E107" i="64"/>
  <c r="J10" i="75"/>
  <c r="G100" i="57"/>
  <c r="N86" i="70"/>
  <c r="D106" i="52"/>
  <c r="I104" i="87"/>
  <c r="L15" i="30"/>
  <c r="L77" i="70"/>
  <c r="I42" i="81"/>
  <c r="J95" i="43"/>
  <c r="H80" i="76"/>
  <c r="J82" i="82"/>
  <c r="O82" i="57"/>
  <c r="K88" i="36"/>
  <c r="E19"/>
  <c r="N34" i="90"/>
  <c r="G46" i="39"/>
  <c r="M29" i="47"/>
  <c r="F83" i="41"/>
  <c r="M70" i="46"/>
  <c r="D79" i="80"/>
  <c r="O79" i="61"/>
  <c r="F6" i="41"/>
  <c r="M51" i="94"/>
  <c r="I58" i="35"/>
  <c r="O67" i="56"/>
  <c r="J68" i="39"/>
  <c r="E38" i="58"/>
  <c r="K52" i="64"/>
  <c r="K107" i="75"/>
  <c r="L47" i="36"/>
  <c r="J27" i="40"/>
  <c r="H100" i="44"/>
  <c r="H106" i="36"/>
  <c r="K18" i="62"/>
  <c r="I57" i="91"/>
  <c r="G54" i="29"/>
  <c r="O19" i="46"/>
  <c r="N97" i="34"/>
  <c r="I94" i="25"/>
  <c r="J23" i="77"/>
  <c r="I17" i="33"/>
  <c r="E88" i="59"/>
  <c r="H7" i="64"/>
  <c r="G38" i="83"/>
  <c r="J103" i="80"/>
  <c r="N10" i="62"/>
  <c r="G49" i="27"/>
  <c r="L24" i="44"/>
  <c r="J65"/>
  <c r="E36" i="52"/>
  <c r="L55" i="92"/>
  <c r="M107" i="40"/>
  <c r="G41" i="33"/>
  <c r="H53" i="81"/>
  <c r="D45" i="90"/>
  <c r="E9" i="71"/>
  <c r="D47" i="29"/>
  <c r="H68" i="89"/>
  <c r="L14" i="68"/>
  <c r="M31" i="41"/>
  <c r="E82" i="73"/>
  <c r="H52" i="34"/>
  <c r="J76" i="33"/>
  <c r="E76" i="55"/>
  <c r="M100" i="61"/>
  <c r="O80" i="51"/>
  <c r="J39" i="54"/>
  <c r="D94" i="26"/>
  <c r="G47" i="33"/>
  <c r="L76" i="62"/>
  <c r="CF75" i="3"/>
  <c r="I8" i="34"/>
  <c r="N41" i="63"/>
  <c r="G19" i="35"/>
  <c r="H13" i="67"/>
  <c r="F22" i="85"/>
  <c r="J47" i="25"/>
  <c r="E100" i="41"/>
  <c r="N56" i="49"/>
  <c r="D77" i="59"/>
  <c r="M88" i="35"/>
  <c r="D29" i="40"/>
  <c r="J80" i="87"/>
  <c r="L22" i="35"/>
  <c r="M76" i="66"/>
  <c r="I85" i="51"/>
  <c r="E20" i="83"/>
  <c r="L41" i="39"/>
  <c r="K33" i="60"/>
  <c r="G39" i="41"/>
  <c r="L29" i="22"/>
  <c r="H67" i="39"/>
  <c r="G50" i="57"/>
  <c r="G38" i="44"/>
  <c r="D13" i="57"/>
  <c r="U20" i="96"/>
  <c r="G95" i="62"/>
  <c r="I36" i="71"/>
  <c r="L107" i="84"/>
  <c r="F42" i="76"/>
  <c r="I67" i="49"/>
  <c r="E64" i="62"/>
  <c r="G104" i="30"/>
  <c r="F62" i="84"/>
  <c r="E45" i="79"/>
  <c r="J33" i="87"/>
  <c r="H33" i="55"/>
  <c r="J57" i="61"/>
  <c r="M44" i="87"/>
  <c r="N46" i="75"/>
  <c r="H98" i="30"/>
  <c r="E70" i="33"/>
  <c r="G22" i="73"/>
  <c r="E39" i="61"/>
  <c r="F83" i="92"/>
  <c r="I11" i="61"/>
  <c r="D47" i="44"/>
  <c r="J103" i="76"/>
  <c r="M21" i="41"/>
  <c r="G29" i="25"/>
  <c r="H52" i="67"/>
  <c r="D107" i="30"/>
  <c r="I22" i="63"/>
  <c r="H44" i="77"/>
  <c r="J20" i="46"/>
  <c r="M94" i="78"/>
  <c r="G25" i="84"/>
  <c r="O77" i="30"/>
  <c r="E13" i="58"/>
  <c r="E47" i="74"/>
  <c r="I4" i="27"/>
  <c r="M58" i="70"/>
  <c r="N98" i="34"/>
  <c r="N31" i="41"/>
  <c r="H77" i="72"/>
  <c r="E31" i="49"/>
  <c r="F11" i="59"/>
  <c r="N41" i="82"/>
  <c r="I42" i="32"/>
  <c r="H61" i="40"/>
  <c r="G82" i="89"/>
  <c r="K42" i="32"/>
  <c r="G71" i="68"/>
  <c r="G86" i="89"/>
  <c r="I41" i="38"/>
  <c r="M49" i="43"/>
  <c r="J45" i="89"/>
  <c r="K24" i="66"/>
  <c r="G61" i="86"/>
  <c r="G106" i="71"/>
  <c r="I5" i="27"/>
  <c r="H79" i="61"/>
  <c r="F61" i="26"/>
  <c r="N29" i="30"/>
  <c r="O42" i="90"/>
  <c r="E68" i="86"/>
  <c r="D64" i="94"/>
  <c r="I31" i="81"/>
  <c r="K70" i="34"/>
  <c r="F13" i="67"/>
  <c r="H98" i="75"/>
  <c r="M106" i="94"/>
  <c r="K94" i="72"/>
  <c r="J16" i="80"/>
  <c r="H64" i="35"/>
  <c r="O48" i="38"/>
  <c r="K36" i="29"/>
  <c r="D34" i="57"/>
  <c r="K16" i="77"/>
  <c r="F30" i="83"/>
  <c r="N45" i="63"/>
  <c r="H25" i="26"/>
  <c r="J57" i="33"/>
  <c r="F6" i="82"/>
  <c r="M91" i="86"/>
  <c r="H19" i="68"/>
  <c r="E79" i="51"/>
  <c r="J23" i="87"/>
  <c r="H9" i="86"/>
  <c r="M39" i="75"/>
  <c r="I44" i="91"/>
  <c r="D37" i="47"/>
  <c r="I21" i="60"/>
  <c r="H6" i="78"/>
  <c r="D61" i="80"/>
  <c r="L4" i="38"/>
  <c r="L14" i="55"/>
  <c r="L56" i="78"/>
  <c r="M36" i="73"/>
  <c r="G94" i="38"/>
  <c r="G94" i="76"/>
  <c r="K77" i="25"/>
  <c r="H83" i="70"/>
  <c r="G74" i="32"/>
  <c r="J23" i="83"/>
  <c r="K27" i="38"/>
  <c r="L103" i="80"/>
  <c r="N10" i="44"/>
  <c r="H44" i="54"/>
  <c r="O16" i="80"/>
  <c r="F74" i="44"/>
  <c r="H45" i="49"/>
  <c r="K12" i="30"/>
  <c r="J55" i="36"/>
  <c r="L8" i="27"/>
  <c r="L12" i="82"/>
  <c r="O107" i="26"/>
  <c r="J50" i="76"/>
  <c r="H59" i="81"/>
  <c r="O25" i="19"/>
  <c r="CL47" i="3" s="1"/>
  <c r="D17" i="68"/>
  <c r="F11"/>
  <c r="G65" i="34"/>
  <c r="I52" i="73"/>
  <c r="J37" i="60"/>
  <c r="F65" i="45"/>
  <c r="E82" i="84"/>
  <c r="J98" i="51"/>
  <c r="G44" i="67"/>
  <c r="D11" i="86"/>
  <c r="E43" i="83"/>
  <c r="H37" i="48"/>
  <c r="D54" i="45"/>
  <c r="K39" i="56"/>
  <c r="M30" i="94"/>
  <c r="K53" i="87"/>
  <c r="N11" i="38"/>
  <c r="M64" i="27"/>
  <c r="I34" i="93"/>
  <c r="N49" i="60"/>
  <c r="J46" i="93"/>
  <c r="F27" i="70"/>
  <c r="E58" i="60"/>
  <c r="J9" i="56"/>
  <c r="E34" i="35"/>
  <c r="J101" i="92"/>
  <c r="H24" i="58"/>
  <c r="G104" i="36"/>
  <c r="I41" i="90"/>
  <c r="H64" i="39"/>
  <c r="L38" i="60"/>
  <c r="E35" i="71"/>
  <c r="K38" i="33"/>
  <c r="J34" i="60"/>
  <c r="E20" i="19"/>
  <c r="E43" i="90"/>
  <c r="F95" i="49"/>
  <c r="O41" i="30"/>
  <c r="J4" i="79"/>
  <c r="K21" i="89"/>
  <c r="G67" i="78"/>
  <c r="F17" i="87"/>
  <c r="L100" i="27"/>
  <c r="F92" i="78"/>
  <c r="M95" i="66"/>
  <c r="K48" i="93"/>
  <c r="F76" i="27"/>
  <c r="I48" i="94"/>
  <c r="L42" i="54"/>
  <c r="E104" i="84"/>
  <c r="E12" i="86"/>
  <c r="N91" i="65"/>
  <c r="F33" i="74"/>
  <c r="I49" i="57"/>
  <c r="K100" i="87"/>
  <c r="O89" i="61"/>
  <c r="O98" i="73"/>
  <c r="N15" i="38"/>
  <c r="L40" i="48"/>
  <c r="I61" i="84"/>
  <c r="K40" i="39"/>
  <c r="N101" i="30"/>
  <c r="K64" i="55"/>
  <c r="F64" i="62"/>
  <c r="I88" i="66"/>
  <c r="L5" i="78"/>
  <c r="E47" i="93"/>
  <c r="L35" i="19"/>
  <c r="E41" i="68"/>
  <c r="D88" i="55"/>
  <c r="E48" i="45"/>
  <c r="H27" i="53"/>
  <c r="M16" i="39"/>
  <c r="I9" i="29"/>
  <c r="I57" i="41"/>
  <c r="E11" i="63"/>
  <c r="E51"/>
  <c r="L103" i="76"/>
  <c r="E18" i="26"/>
  <c r="H25" i="46"/>
  <c r="O23" i="73"/>
  <c r="G19" i="25"/>
  <c r="D4" i="74"/>
  <c r="N33" i="27"/>
  <c r="G58" i="58"/>
  <c r="G28" i="57"/>
  <c r="G4" i="51"/>
  <c r="K107" i="90"/>
  <c r="D9" i="87"/>
  <c r="O44" i="54"/>
  <c r="D51" i="82"/>
  <c r="L29" i="65"/>
  <c r="G70" i="81"/>
  <c r="N98" i="89"/>
  <c r="K27" i="60"/>
  <c r="I104" i="43"/>
  <c r="D38" i="39"/>
  <c r="G77" i="86"/>
  <c r="M95" i="72"/>
  <c r="H106" i="34"/>
  <c r="L98" i="29"/>
  <c r="G51" i="25"/>
  <c r="M80" i="64"/>
  <c r="K34" i="74"/>
  <c r="I9" i="80"/>
  <c r="O46" i="63"/>
  <c r="N17" i="61"/>
  <c r="I67" i="52"/>
  <c r="E9" i="77"/>
  <c r="K70" i="41"/>
  <c r="J57" i="56"/>
  <c r="K36" i="38"/>
  <c r="O101" i="84"/>
  <c r="H86" i="33"/>
  <c r="G88" i="59"/>
  <c r="G74" i="79"/>
  <c r="M38" i="68"/>
  <c r="D76" i="34"/>
  <c r="I7" i="92"/>
  <c r="K86" i="69"/>
  <c r="E21" i="78"/>
  <c r="H92" i="85"/>
  <c r="G8" i="44"/>
  <c r="O51" i="39"/>
  <c r="J51" i="80"/>
  <c r="G77" i="39"/>
  <c r="H58" i="69"/>
  <c r="M67" i="81"/>
  <c r="G23" i="56"/>
  <c r="I61" i="42"/>
  <c r="O32" i="58"/>
  <c r="O52" i="49"/>
  <c r="J16" i="87"/>
  <c r="O13" i="80"/>
  <c r="J43" i="45"/>
  <c r="L65" i="36"/>
  <c r="D11" i="47"/>
  <c r="L33" i="91"/>
  <c r="G11" i="29"/>
  <c r="M11" i="60"/>
  <c r="J73" i="90"/>
  <c r="K49" i="92"/>
  <c r="K20" i="59"/>
  <c r="N82" i="40"/>
  <c r="D53" i="79"/>
  <c r="CB57" i="3"/>
  <c r="J22" i="27"/>
  <c r="F48" i="65"/>
  <c r="H26" i="56"/>
  <c r="I44" i="38"/>
  <c r="J55" i="34"/>
  <c r="K5" i="55"/>
  <c r="E8" i="85"/>
  <c r="H27" i="71"/>
  <c r="L49" i="81"/>
  <c r="F67" i="44"/>
  <c r="H103" i="56"/>
  <c r="I25" i="75"/>
  <c r="I42" i="92"/>
  <c r="O52" i="38"/>
  <c r="M106" i="89"/>
  <c r="I24" i="55"/>
  <c r="N51" i="45"/>
  <c r="E46" i="94"/>
  <c r="K106" i="92"/>
  <c r="J11" i="55"/>
  <c r="O9" i="62"/>
  <c r="E26" i="74"/>
  <c r="D35" i="57"/>
  <c r="N64" i="43"/>
  <c r="F46" i="41"/>
  <c r="I85" i="66"/>
  <c r="N106" i="45"/>
  <c r="I43" i="50"/>
  <c r="H83" i="87"/>
  <c r="L104" i="64"/>
  <c r="G38" i="90"/>
  <c r="G92" i="79"/>
  <c r="E10" i="87"/>
  <c r="E32" i="68"/>
  <c r="E62" i="35"/>
  <c r="K98" i="91"/>
  <c r="F91" i="90"/>
  <c r="F37" i="38"/>
  <c r="O59" i="29"/>
  <c r="I73" i="51"/>
  <c r="E97" i="66"/>
  <c r="F24" i="80"/>
  <c r="H15" i="48"/>
  <c r="K9" i="68"/>
  <c r="J40" i="26"/>
  <c r="I10" i="47"/>
  <c r="D59" i="67"/>
  <c r="J57" i="40"/>
  <c r="H35" i="46"/>
  <c r="I74" i="33"/>
  <c r="N80" i="19"/>
  <c r="G100" i="34"/>
  <c r="G48" i="77"/>
  <c r="J104" i="75"/>
  <c r="D41" i="44"/>
  <c r="J41" i="53"/>
  <c r="N59" i="69"/>
  <c r="D24" i="84"/>
  <c r="L26" i="26"/>
  <c r="L73" i="49"/>
  <c r="J42" i="33"/>
  <c r="O91" i="82"/>
  <c r="O10" i="35"/>
  <c r="J104" i="39"/>
  <c r="L28" i="69"/>
  <c r="K10" i="71"/>
  <c r="J86" i="91"/>
  <c r="O9" i="51"/>
  <c r="G101" i="89"/>
  <c r="F4" i="74"/>
  <c r="M53" i="73"/>
  <c r="K48" i="91"/>
  <c r="F21" i="72"/>
  <c r="I61" i="32"/>
  <c r="G89" i="56"/>
  <c r="E7" i="67"/>
  <c r="J20" i="35"/>
  <c r="H82" i="54"/>
  <c r="E36" i="57"/>
  <c r="O9" i="87"/>
  <c r="J33" i="93"/>
  <c r="J44" i="79"/>
  <c r="E26" i="59"/>
  <c r="K19" i="71"/>
  <c r="G10" i="51"/>
  <c r="G50" i="33"/>
  <c r="G88" i="60"/>
  <c r="K89" i="69"/>
  <c r="G4" i="44"/>
  <c r="G25" i="63"/>
  <c r="I97" i="74"/>
  <c r="F64" i="40"/>
  <c r="M31" i="89"/>
  <c r="D59" i="27"/>
  <c r="L94" i="76"/>
  <c r="D42" i="79"/>
  <c r="L43" i="61"/>
  <c r="M80" i="30"/>
  <c r="N79" i="61"/>
  <c r="F59" i="49"/>
  <c r="K35" i="67"/>
  <c r="L14" i="72"/>
  <c r="H39" i="54"/>
  <c r="K101" i="94"/>
  <c r="M64" i="63"/>
  <c r="O88" i="66"/>
  <c r="L77" i="26"/>
  <c r="N83" i="82"/>
  <c r="G89" i="54"/>
  <c r="H4" i="41"/>
  <c r="O65" i="40"/>
  <c r="G80"/>
  <c r="F49" i="70"/>
  <c r="D20" i="94"/>
  <c r="E37" i="69"/>
  <c r="M34" i="87"/>
  <c r="J34" i="50"/>
  <c r="J76" i="47"/>
  <c r="N44" i="64"/>
  <c r="G47" i="90"/>
  <c r="N43" i="66"/>
  <c r="E12" i="53"/>
  <c r="G61" i="75"/>
  <c r="L68" i="29"/>
  <c r="E23" i="75"/>
  <c r="D4" i="35"/>
  <c r="J40"/>
  <c r="I5" i="40"/>
  <c r="H57" i="57"/>
  <c r="J98" i="33"/>
  <c r="K76" i="76"/>
  <c r="D26" i="74"/>
  <c r="D10" i="49"/>
  <c r="G92" i="92"/>
  <c r="H40" i="57"/>
  <c r="K59" i="47"/>
  <c r="F103" i="93"/>
  <c r="L9" i="92"/>
  <c r="F7" i="81"/>
  <c r="N31" i="62"/>
  <c r="J101" i="58"/>
  <c r="E7" i="36"/>
  <c r="O73" i="64"/>
  <c r="H91" i="38"/>
  <c r="J101" i="81"/>
  <c r="F71" i="64"/>
  <c r="I20" i="41"/>
  <c r="G51" i="47"/>
  <c r="N43" i="54"/>
  <c r="M88" i="38"/>
  <c r="D23" i="59"/>
  <c r="I59" i="33"/>
  <c r="M89" i="34"/>
  <c r="K97" i="83"/>
  <c r="D28" i="85"/>
  <c r="E21" i="91"/>
  <c r="F56" i="39"/>
  <c r="D95" i="58"/>
  <c r="J37" i="70"/>
  <c r="K13" i="29"/>
  <c r="E27" i="53"/>
  <c r="L59" i="60"/>
  <c r="E97" i="57"/>
  <c r="L47" i="58"/>
  <c r="I18" i="90"/>
  <c r="N50" i="47"/>
  <c r="G16" i="84"/>
  <c r="G50" i="27"/>
  <c r="L88" i="49"/>
  <c r="E25" i="94"/>
  <c r="L26" i="71"/>
  <c r="G61" i="44"/>
  <c r="J80" i="69"/>
  <c r="D29" i="51"/>
  <c r="H5" i="55"/>
  <c r="L15" i="91"/>
  <c r="N26" i="39"/>
  <c r="O56" i="47"/>
  <c r="J76" i="32"/>
  <c r="I79" i="42"/>
  <c r="F7" i="75"/>
  <c r="M33" i="61"/>
  <c r="H26"/>
  <c r="O5" i="30"/>
  <c r="E10" i="51"/>
  <c r="O4" i="94"/>
  <c r="D64" i="96" s="1"/>
  <c r="I28" i="68"/>
  <c r="K18" i="69"/>
  <c r="K97" i="45"/>
  <c r="E67" i="44"/>
  <c r="E79" i="65"/>
  <c r="N65" i="69"/>
  <c r="K21" i="94"/>
  <c r="G37" i="92"/>
  <c r="F103" i="42"/>
  <c r="M46" i="59"/>
  <c r="E79" i="52"/>
  <c r="J86" i="81"/>
  <c r="E80" i="84"/>
  <c r="O19" i="70"/>
  <c r="N107" i="25"/>
  <c r="J86" i="74"/>
  <c r="I28" i="61"/>
  <c r="K20" i="30"/>
  <c r="K41" i="83"/>
  <c r="J106" i="44"/>
  <c r="M42" i="72"/>
  <c r="N85" i="33"/>
  <c r="D27" i="45"/>
  <c r="J7" i="69"/>
  <c r="O29" i="72"/>
  <c r="I54" i="46"/>
  <c r="I104" i="38"/>
  <c r="I82" i="62"/>
  <c r="H22"/>
  <c r="L67" i="38"/>
  <c r="J22" i="44"/>
  <c r="E10" i="40"/>
  <c r="E48" i="38"/>
  <c r="O16" i="39"/>
  <c r="O32" i="89"/>
  <c r="I12" i="26"/>
  <c r="E40" i="69"/>
  <c r="J89" i="78"/>
  <c r="F26" i="35"/>
  <c r="O33" i="68"/>
  <c r="O36" i="86"/>
  <c r="E49" i="56"/>
  <c r="N34" i="76"/>
  <c r="H88" i="50"/>
  <c r="K77" i="66"/>
  <c r="M97" i="84"/>
  <c r="E57" i="47"/>
  <c r="O40" i="27"/>
  <c r="H51" i="50"/>
  <c r="I38" i="82"/>
  <c r="I15" i="46"/>
  <c r="F65" i="29"/>
  <c r="H8" i="86"/>
  <c r="K25" i="47"/>
  <c r="D76" i="94"/>
  <c r="G85" i="40"/>
  <c r="L55" i="63"/>
  <c r="I25" i="71"/>
  <c r="D86" i="56"/>
  <c r="O28" i="86"/>
  <c r="L54" i="93"/>
  <c r="L11" i="90"/>
  <c r="H38" i="78"/>
  <c r="H71" i="71"/>
  <c r="H106" i="46"/>
  <c r="D59" i="30"/>
  <c r="O19" i="44"/>
  <c r="E50" i="69"/>
  <c r="N77" i="57"/>
  <c r="M38" i="76"/>
  <c r="I55" i="48"/>
  <c r="L15" i="70"/>
  <c r="J20" i="30"/>
  <c r="O18" i="26"/>
  <c r="N26" i="56"/>
  <c r="I29" i="60"/>
  <c r="K21" i="27"/>
  <c r="E68" i="57"/>
  <c r="G34" i="87"/>
  <c r="D80" i="48"/>
  <c r="I107" i="81"/>
  <c r="K59" i="49"/>
  <c r="H43" i="79"/>
  <c r="D70" i="81"/>
  <c r="J22" i="89"/>
  <c r="N33" i="66"/>
  <c r="E36" i="89"/>
  <c r="M15" i="26"/>
  <c r="H107" i="93"/>
  <c r="M59" i="66"/>
  <c r="K4" i="34"/>
  <c r="F67" i="26"/>
  <c r="N24" i="89"/>
  <c r="O64" i="65"/>
  <c r="G12" i="82"/>
  <c r="K40" i="75"/>
  <c r="L30" i="32"/>
  <c r="K103" i="61"/>
  <c r="D20" i="77"/>
  <c r="N20" i="61"/>
  <c r="F65" i="49"/>
  <c r="L6" i="51"/>
  <c r="L11" i="38"/>
  <c r="O15" i="44"/>
  <c r="G43" i="33"/>
  <c r="F22" i="91"/>
  <c r="I50" i="54"/>
  <c r="D25" i="87"/>
  <c r="N11" i="93"/>
  <c r="F31" i="44"/>
  <c r="F21" i="78"/>
  <c r="M32" i="29"/>
  <c r="O107" i="92"/>
  <c r="N73" i="29"/>
  <c r="M7" i="46"/>
  <c r="M57" i="26"/>
  <c r="I100" i="55"/>
  <c r="E26" i="44"/>
  <c r="O67" i="49"/>
  <c r="F17" i="89"/>
  <c r="M12" i="59"/>
  <c r="M8" i="91"/>
  <c r="F43" i="83"/>
  <c r="F31" i="60"/>
  <c r="H40" i="81"/>
  <c r="I23" i="53"/>
  <c r="M23" i="81"/>
  <c r="O97" i="64"/>
  <c r="M24" i="44"/>
  <c r="K14" i="34"/>
  <c r="G80" i="58"/>
  <c r="D57" i="25"/>
  <c r="H86" i="72"/>
  <c r="N62" i="39"/>
  <c r="E47" i="44"/>
  <c r="L51"/>
  <c r="H56" i="67"/>
  <c r="G91" i="74"/>
  <c r="L89" i="45"/>
  <c r="G4" i="72"/>
  <c r="D106" i="74"/>
  <c r="E41" i="63"/>
  <c r="M10" i="71"/>
  <c r="M42" i="49"/>
  <c r="L100"/>
  <c r="K50" i="94"/>
  <c r="J61" i="51"/>
  <c r="N70" i="34"/>
  <c r="J49" i="93"/>
  <c r="E79" i="27"/>
  <c r="D64" i="51"/>
  <c r="O13" i="68"/>
  <c r="M30" i="70"/>
  <c r="H71" i="46"/>
  <c r="K82" i="45"/>
  <c r="O39" i="29"/>
  <c r="L85" i="90"/>
  <c r="F44" i="49"/>
  <c r="O59" i="34"/>
  <c r="H5" i="56"/>
  <c r="D76" i="25"/>
  <c r="F24" i="89"/>
  <c r="D89" i="36"/>
  <c r="M92" i="60"/>
  <c r="M46" i="45"/>
  <c r="E12" i="72"/>
  <c r="K57" i="36"/>
  <c r="O35" i="83"/>
  <c r="E52" i="80"/>
  <c r="K74" i="59"/>
  <c r="E33" i="38"/>
  <c r="K95" i="25"/>
  <c r="N46" i="53"/>
  <c r="F100" i="60"/>
  <c r="F28" i="92"/>
  <c r="H54"/>
  <c r="I42" i="64"/>
  <c r="O91" i="93"/>
  <c r="G21" i="61"/>
  <c r="K76" i="66"/>
  <c r="K101" i="49"/>
  <c r="E106" i="85"/>
  <c r="O25" i="60"/>
  <c r="E4" i="48"/>
  <c r="J29" i="38"/>
  <c r="E103" i="80"/>
  <c r="H65" i="30"/>
  <c r="H18" i="39"/>
  <c r="K82" i="43"/>
  <c r="L27" i="56"/>
  <c r="F64" i="61"/>
  <c r="D40" i="57"/>
  <c r="E30" i="91"/>
  <c r="J73" i="36"/>
  <c r="N31" i="75"/>
  <c r="O85" i="86"/>
  <c r="I19" i="61"/>
  <c r="J94" i="46"/>
  <c r="J40" i="91"/>
  <c r="G88" i="49"/>
  <c r="N24" i="48"/>
  <c r="H4" i="63"/>
  <c r="E55" i="45"/>
  <c r="D92" i="61"/>
  <c r="E6" i="39"/>
  <c r="D100" i="63"/>
  <c r="F17" i="93"/>
  <c r="J14" i="77"/>
  <c r="H32" i="62"/>
  <c r="K89" i="56"/>
  <c r="O95" i="93"/>
  <c r="L56" i="67"/>
  <c r="J76" i="46"/>
  <c r="M33" i="69"/>
  <c r="I73" i="30"/>
  <c r="E24" i="84"/>
  <c r="M61" i="69"/>
  <c r="N59" i="76"/>
  <c r="H46" i="67"/>
  <c r="D9" i="84"/>
  <c r="O41" i="60"/>
  <c r="K45" i="41"/>
  <c r="M62" i="55"/>
  <c r="G9" i="25"/>
  <c r="G74" i="94"/>
  <c r="L15" i="45"/>
  <c r="D19" i="34"/>
  <c r="K30" i="69"/>
  <c r="D103" i="81"/>
  <c r="F29" i="50"/>
  <c r="L61" i="75"/>
  <c r="O42" i="74"/>
  <c r="K11" i="35"/>
  <c r="K31" i="87"/>
  <c r="D5" i="58"/>
  <c r="O38" i="43"/>
  <c r="CL60" i="3" s="1"/>
  <c r="D8" i="39"/>
  <c r="E33" i="76"/>
  <c r="D43" i="86"/>
  <c r="J107" i="68"/>
  <c r="G28" i="45"/>
  <c r="H85" i="75"/>
  <c r="L20" i="69"/>
  <c r="N24" i="43"/>
  <c r="G49" i="68"/>
  <c r="N19" i="49"/>
  <c r="K82" i="72"/>
  <c r="J57" i="82"/>
  <c r="D15" i="53"/>
  <c r="N104" i="77"/>
  <c r="M59" i="80"/>
  <c r="D103" i="57"/>
  <c r="O37" i="34"/>
  <c r="G73" i="61"/>
  <c r="M56" i="76"/>
  <c r="J61" i="91"/>
  <c r="H14" i="78"/>
  <c r="N47" i="82"/>
  <c r="E7" i="66"/>
  <c r="J56" i="84"/>
  <c r="H91"/>
  <c r="H48" i="40"/>
  <c r="E29" i="85"/>
  <c r="L65" i="48"/>
  <c r="K19" i="94"/>
  <c r="G27" i="64"/>
  <c r="F26" i="81"/>
  <c r="J21" i="55"/>
  <c r="D88" i="85"/>
  <c r="H19" i="54"/>
  <c r="F29" i="89"/>
  <c r="L83" i="34"/>
  <c r="F56" i="48"/>
  <c r="N13" i="44"/>
  <c r="K6" i="61"/>
  <c r="E32" i="48"/>
  <c r="G89" i="36"/>
  <c r="E55" i="93"/>
  <c r="H13" i="46"/>
  <c r="G10" i="25"/>
  <c r="G38" i="89"/>
  <c r="L92" i="48"/>
  <c r="D61" i="33"/>
  <c r="D79" i="58"/>
  <c r="G71" i="73"/>
  <c r="L55" i="25"/>
  <c r="E36" i="90"/>
  <c r="F9" i="84"/>
  <c r="M11" i="63"/>
  <c r="F83" i="32"/>
  <c r="N25"/>
  <c r="H80" i="41"/>
  <c r="J42" i="87"/>
  <c r="K40" i="73"/>
  <c r="J64" i="57"/>
  <c r="J46" i="38"/>
  <c r="H79" i="43"/>
  <c r="I80" i="42"/>
  <c r="D97" i="48"/>
  <c r="M62" i="81"/>
  <c r="D11" i="76"/>
  <c r="L57" i="35"/>
  <c r="H56" i="63"/>
  <c r="F4" i="76"/>
  <c r="E4" i="41"/>
  <c r="M26" i="25"/>
  <c r="O91" i="41"/>
  <c r="I64" i="56"/>
  <c r="M46" i="57"/>
  <c r="E62" i="62"/>
  <c r="H65" i="77"/>
  <c r="O22" i="66"/>
  <c r="D53" i="72"/>
  <c r="J83" i="33"/>
  <c r="I6" i="38"/>
  <c r="D79" i="93"/>
  <c r="D29" i="46"/>
  <c r="H6" i="27"/>
  <c r="D35" i="91"/>
  <c r="D14" i="76"/>
  <c r="H54" i="61"/>
  <c r="D98"/>
  <c r="N56" i="58"/>
  <c r="G48" i="27"/>
  <c r="N41" i="36"/>
  <c r="J50" i="29"/>
  <c r="D85" i="73"/>
  <c r="N11" i="63"/>
  <c r="L100" i="67"/>
  <c r="H100" i="84"/>
  <c r="K52" i="26"/>
  <c r="L16" i="87"/>
  <c r="I26" i="63"/>
  <c r="N95" i="93"/>
  <c r="G44" i="25"/>
  <c r="N61" i="53"/>
  <c r="M103" i="40"/>
  <c r="K64" i="36"/>
  <c r="M85"/>
  <c r="M57" i="68"/>
  <c r="L67" i="32"/>
  <c r="G52" i="85"/>
  <c r="N42" i="92"/>
  <c r="D21" i="62"/>
  <c r="G43" i="50"/>
  <c r="O5" i="80"/>
  <c r="I107" i="58"/>
  <c r="I107" i="61"/>
  <c r="K92" i="55"/>
  <c r="L85" i="76"/>
  <c r="M46" i="63"/>
  <c r="I94" i="64"/>
  <c r="L73" i="26"/>
  <c r="L42" i="86"/>
  <c r="N16" i="36"/>
  <c r="I107" i="82"/>
  <c r="D49" i="80"/>
  <c r="F24" i="29"/>
  <c r="D71" i="51"/>
  <c r="F73" i="77"/>
  <c r="F73" i="87"/>
  <c r="E80"/>
  <c r="J106" i="47"/>
  <c r="J39" i="92"/>
  <c r="K40" i="34"/>
  <c r="G58" i="29"/>
  <c r="N39" i="65"/>
  <c r="D62" i="61"/>
  <c r="D91" i="54"/>
  <c r="J13" i="80"/>
  <c r="D101" i="70"/>
  <c r="K46" i="25"/>
  <c r="J34" i="45"/>
  <c r="H33" i="91"/>
  <c r="J40" i="55"/>
  <c r="E57" i="77"/>
  <c r="N98" i="78"/>
  <c r="E89" i="70"/>
  <c r="G36" i="92"/>
  <c r="D43" i="34"/>
  <c r="N32" i="39"/>
  <c r="L77" i="38"/>
  <c r="K77" i="47"/>
  <c r="N40" i="55"/>
  <c r="D48" i="33"/>
  <c r="N21" i="26"/>
  <c r="L82" i="89"/>
  <c r="M85" i="86"/>
  <c r="J95" i="60"/>
  <c r="D34" i="59"/>
  <c r="H35" i="33"/>
  <c r="L107" i="29"/>
  <c r="N16" i="73"/>
  <c r="O10" i="89"/>
  <c r="N30" i="43"/>
  <c r="E65" i="53"/>
  <c r="M57" i="65"/>
  <c r="I76" i="91"/>
  <c r="J38" i="53"/>
  <c r="D57" i="47"/>
  <c r="G74" i="45"/>
  <c r="L43" i="77"/>
  <c r="K4" i="19"/>
  <c r="F53" i="57"/>
  <c r="H26" i="92"/>
  <c r="M68" i="89"/>
  <c r="N82" i="19"/>
  <c r="H47" i="54"/>
  <c r="G42" i="74"/>
  <c r="M19" i="94"/>
  <c r="D94" i="79"/>
  <c r="K8" i="94"/>
  <c r="O31" i="77"/>
  <c r="G104" i="32"/>
  <c r="M14" i="54"/>
  <c r="E10" i="85"/>
  <c r="N52" i="80"/>
  <c r="I9" i="40"/>
  <c r="L14" i="81"/>
  <c r="E25" i="56"/>
  <c r="H61" i="49"/>
  <c r="I46" i="72"/>
  <c r="H4" i="78"/>
  <c r="E17" i="32"/>
  <c r="K47" i="91"/>
  <c r="L91" i="72"/>
  <c r="E11" i="79"/>
  <c r="N20" i="59"/>
  <c r="M36" i="78"/>
  <c r="D39" i="74"/>
  <c r="N8"/>
  <c r="M4" i="73"/>
  <c r="M44" i="45"/>
  <c r="N73" i="94"/>
  <c r="D49" i="93"/>
  <c r="H15" i="77"/>
  <c r="G65" i="44"/>
  <c r="K71" i="71"/>
  <c r="G68" i="45"/>
  <c r="D7" i="22"/>
  <c r="J55" i="79"/>
  <c r="I39" i="47"/>
  <c r="F56" i="94"/>
  <c r="O79"/>
  <c r="K14" i="66"/>
  <c r="N22" i="30"/>
  <c r="I65" i="89"/>
  <c r="E65" i="51"/>
  <c r="D47" i="52"/>
  <c r="L27" i="60"/>
  <c r="K22"/>
  <c r="F71" i="29"/>
  <c r="H57" i="60"/>
  <c r="N68" i="77"/>
  <c r="G53" i="44"/>
  <c r="G7" i="86"/>
  <c r="F51" i="39"/>
  <c r="L76" i="72"/>
  <c r="K30" i="43"/>
  <c r="E45" i="90"/>
  <c r="F37" i="32"/>
  <c r="J23" i="40"/>
  <c r="I24" i="33"/>
  <c r="L39" i="90"/>
  <c r="I51" i="52"/>
  <c r="L49" i="27"/>
  <c r="K95" i="33"/>
  <c r="I101" i="72"/>
  <c r="I70" i="27"/>
  <c r="I29" i="87"/>
  <c r="D10" i="83"/>
  <c r="E80" i="29"/>
  <c r="E35" i="78"/>
  <c r="L73" i="92"/>
  <c r="E16" i="39"/>
  <c r="I54" i="85"/>
  <c r="F38" i="94"/>
  <c r="K79" i="87"/>
  <c r="K92" i="78"/>
  <c r="N91" i="30"/>
  <c r="K71" i="57"/>
  <c r="G59" i="94"/>
  <c r="H14" i="26"/>
  <c r="H21" i="83"/>
  <c r="I98" i="91"/>
  <c r="O92" i="47"/>
  <c r="K29" i="54"/>
  <c r="N52" i="44"/>
  <c r="J107" i="86"/>
  <c r="D91" i="67"/>
  <c r="L40" i="26"/>
  <c r="N101" i="66"/>
  <c r="F67" i="70"/>
  <c r="N39" i="64"/>
  <c r="E30" i="45"/>
  <c r="I31" i="90"/>
  <c r="D67" i="46"/>
  <c r="J70" i="82"/>
  <c r="D58" i="79"/>
  <c r="O40" i="65"/>
  <c r="E44" i="57"/>
  <c r="F97" i="19"/>
  <c r="J45" i="51"/>
  <c r="F80" i="46"/>
  <c r="I86" i="69"/>
  <c r="G18" i="35"/>
  <c r="G53" i="64"/>
  <c r="D41" i="55"/>
  <c r="E13" i="62"/>
  <c r="M85" i="90"/>
  <c r="I49" i="59"/>
  <c r="G91" i="29"/>
  <c r="K25" i="69"/>
  <c r="F50" i="25"/>
  <c r="E44" i="66"/>
  <c r="I45" i="72"/>
  <c r="J52" i="40"/>
  <c r="I20" i="70"/>
  <c r="E91" i="92"/>
  <c r="L38" i="43"/>
  <c r="M98" i="87"/>
  <c r="I77" i="79"/>
  <c r="I61" i="39"/>
  <c r="K106" i="45"/>
  <c r="L57"/>
  <c r="G82" i="19"/>
  <c r="I19" i="93"/>
  <c r="CH80" i="3"/>
  <c r="K89" i="58"/>
  <c r="K46" i="77"/>
  <c r="L70" i="35"/>
  <c r="J82" i="30"/>
  <c r="F25"/>
  <c r="O79" i="74"/>
  <c r="G40" i="76"/>
  <c r="H58" i="36"/>
  <c r="F94" i="53"/>
  <c r="I32" i="25"/>
  <c r="M32" i="76"/>
  <c r="I5" i="19"/>
  <c r="N91" i="39"/>
  <c r="N57" i="55"/>
  <c r="L31" i="32"/>
  <c r="J36" i="59"/>
  <c r="K80" i="63"/>
  <c r="F47" i="34"/>
  <c r="N76" i="25"/>
  <c r="K12" i="32"/>
  <c r="O94" i="40"/>
  <c r="O86" i="43"/>
  <c r="D14" i="19"/>
  <c r="C12" i="22" s="1"/>
  <c r="J71" i="47"/>
  <c r="H34" i="58"/>
  <c r="N71" i="33"/>
  <c r="M103" i="61"/>
  <c r="O15" i="40"/>
  <c r="L32" i="56"/>
  <c r="F34" i="49"/>
  <c r="N86" i="71"/>
  <c r="N94" i="83"/>
  <c r="F23" i="30"/>
  <c r="N16" i="89"/>
  <c r="L37" i="92"/>
  <c r="M36" i="35"/>
  <c r="K35" i="82"/>
  <c r="N85" i="59"/>
  <c r="K19" i="67"/>
  <c r="O6" i="80"/>
  <c r="G43" i="44"/>
  <c r="J29" i="92"/>
  <c r="K55" i="38"/>
  <c r="M61" i="78"/>
  <c r="M71" i="80"/>
  <c r="J88" i="40"/>
  <c r="I24" i="56"/>
  <c r="H39" i="26"/>
  <c r="F19" i="49"/>
  <c r="M54" i="66"/>
  <c r="O9" i="27"/>
  <c r="D53" i="64"/>
  <c r="J98" i="66"/>
  <c r="CK51" i="3"/>
  <c r="G40" i="54"/>
  <c r="L30" i="51"/>
  <c r="I9" i="54"/>
  <c r="H42" i="29"/>
  <c r="G106" i="30"/>
  <c r="K10" i="60"/>
  <c r="N65" i="38"/>
  <c r="N23" i="58"/>
  <c r="D82" i="83"/>
  <c r="O83" i="94"/>
  <c r="O56" i="30"/>
  <c r="O59" i="19"/>
  <c r="L104" i="66"/>
  <c r="N45" i="44"/>
  <c r="G76" i="34"/>
  <c r="O73" i="94"/>
  <c r="H76" i="89"/>
  <c r="H25"/>
  <c r="L92" i="82"/>
  <c r="K24" i="75"/>
  <c r="M73" i="78"/>
  <c r="M89" i="72"/>
  <c r="J77" i="90"/>
  <c r="E58" i="49"/>
  <c r="N85" i="77"/>
  <c r="E26" i="50"/>
  <c r="G79" i="57"/>
  <c r="F40" i="29"/>
  <c r="H14" i="50"/>
  <c r="N32" i="46"/>
  <c r="E23" i="55"/>
  <c r="D7" i="74"/>
  <c r="L34" i="32"/>
  <c r="E91" i="49"/>
  <c r="E51" i="46"/>
  <c r="I48" i="67"/>
  <c r="J67" i="86"/>
  <c r="G23" i="54"/>
  <c r="N18" i="55"/>
  <c r="N35" i="61"/>
  <c r="L77" i="40"/>
  <c r="F74" i="27"/>
  <c r="I92" i="62"/>
  <c r="J64" i="82"/>
  <c r="L97" i="89"/>
  <c r="F88" i="71"/>
  <c r="F97" i="74"/>
  <c r="O68" i="35"/>
  <c r="H71" i="93"/>
  <c r="I27" i="19"/>
  <c r="M23" i="86"/>
  <c r="D80" i="65"/>
  <c r="M43" i="93"/>
  <c r="I29" i="75"/>
  <c r="M32" i="47"/>
  <c r="E24" i="56"/>
  <c r="D45" i="41"/>
  <c r="E35" i="26"/>
  <c r="L104" i="51"/>
  <c r="N35" i="60"/>
  <c r="D24" i="45"/>
  <c r="G88" i="82"/>
  <c r="F35" i="26"/>
  <c r="G58" i="68"/>
  <c r="F11" i="27"/>
  <c r="D73" i="26"/>
  <c r="K44" i="25"/>
  <c r="O65" i="60"/>
  <c r="N32" i="89"/>
  <c r="N62" i="64"/>
  <c r="K48" i="43"/>
  <c r="G12" i="89"/>
  <c r="E22" i="27"/>
  <c r="L28" i="56"/>
  <c r="G31" i="76"/>
  <c r="J100" i="43"/>
  <c r="M85" i="56"/>
  <c r="J74" i="68"/>
  <c r="E86" i="66"/>
  <c r="F104" i="61"/>
  <c r="J67" i="35"/>
  <c r="M27" i="89"/>
  <c r="O42" i="78"/>
  <c r="D83" i="32"/>
  <c r="H76" i="57"/>
  <c r="G67" i="59"/>
  <c r="L37" i="86"/>
  <c r="K95" i="29"/>
  <c r="L5" i="80"/>
  <c r="H40" i="79"/>
  <c r="F42" i="30"/>
  <c r="L22" i="80"/>
  <c r="J16" i="46"/>
  <c r="J101" i="50"/>
  <c r="O22" i="48"/>
  <c r="E49" i="65"/>
  <c r="J73" i="43"/>
  <c r="E104" i="75"/>
  <c r="O11" i="33"/>
  <c r="J40" i="59"/>
  <c r="D5" i="68"/>
  <c r="J44" i="66"/>
  <c r="F55" i="93"/>
  <c r="N26" i="26"/>
  <c r="G25" i="78"/>
  <c r="D58" i="48"/>
  <c r="N38" i="57"/>
  <c r="L25" i="80"/>
  <c r="G40" i="60"/>
  <c r="G67" i="44"/>
  <c r="O67" i="71"/>
  <c r="J46" i="44"/>
  <c r="L35" i="71"/>
  <c r="E86" i="52"/>
  <c r="K45" i="19"/>
  <c r="E59" i="25"/>
  <c r="O22" i="64"/>
  <c r="N97" i="70"/>
  <c r="E59" i="39"/>
  <c r="G57" i="83"/>
  <c r="D17" i="75"/>
  <c r="O13" i="56"/>
  <c r="G50" i="51"/>
  <c r="K46" i="32"/>
  <c r="I43" i="66"/>
  <c r="I103"/>
  <c r="M76" i="44"/>
  <c r="F52" i="82"/>
  <c r="D20" i="72"/>
  <c r="D65" i="70"/>
  <c r="I54" i="35"/>
  <c r="L68" i="57"/>
  <c r="I89" i="90"/>
  <c r="O57" i="49"/>
  <c r="I15" i="68"/>
  <c r="H107" i="62"/>
  <c r="M15" i="57"/>
  <c r="J88" i="51"/>
  <c r="E88" i="76"/>
  <c r="E88" i="93"/>
  <c r="G91" i="66"/>
  <c r="N85" i="92"/>
  <c r="F16" i="63"/>
  <c r="M21" i="94"/>
  <c r="F16" i="80"/>
  <c r="I28" i="53"/>
  <c r="J55" i="91"/>
  <c r="J104" i="72"/>
  <c r="D34" i="75"/>
  <c r="N40" i="93"/>
  <c r="F50" i="71"/>
  <c r="M33" i="80"/>
  <c r="J79" i="78"/>
  <c r="O100" i="48"/>
  <c r="O97" i="39"/>
  <c r="N88" i="32"/>
  <c r="N104" i="26"/>
  <c r="O86" i="38"/>
  <c r="CK75" i="3"/>
  <c r="E9" i="90"/>
  <c r="M65" i="70"/>
  <c r="K39" i="55"/>
  <c r="D27" i="32"/>
  <c r="L48" i="73"/>
  <c r="I73" i="54"/>
  <c r="H54" i="27"/>
  <c r="K4" i="33"/>
  <c r="N89" i="47"/>
  <c r="H40" i="44"/>
  <c r="F20" i="81"/>
  <c r="N106" i="70"/>
  <c r="N89" i="82"/>
  <c r="L46" i="65"/>
  <c r="F92" i="70"/>
  <c r="N15" i="46"/>
  <c r="G25" i="43"/>
  <c r="L29" i="70"/>
  <c r="H92" i="60"/>
  <c r="I58" i="34"/>
  <c r="D61" i="32"/>
  <c r="K92" i="27"/>
  <c r="G76" i="78"/>
  <c r="F10" i="64"/>
  <c r="O77" i="78"/>
  <c r="M39" i="80"/>
  <c r="E5" i="38"/>
  <c r="H33" i="48"/>
  <c r="O88" i="91"/>
  <c r="O30" i="19"/>
  <c r="H58" i="76"/>
  <c r="G106" i="48"/>
  <c r="O50" i="41"/>
  <c r="N47" i="77"/>
  <c r="M89" i="32"/>
  <c r="L104" i="68"/>
  <c r="J80" i="32"/>
  <c r="E83" i="29"/>
  <c r="J48" i="82"/>
  <c r="M30" i="64"/>
  <c r="N58" i="81"/>
  <c r="G51" i="68"/>
  <c r="J11" i="63"/>
  <c r="O59" i="68"/>
  <c r="J35" i="46"/>
  <c r="F98" i="41"/>
  <c r="N51" i="39"/>
  <c r="H73" i="59"/>
  <c r="J100" i="90"/>
  <c r="I10" i="73"/>
  <c r="O20" i="76"/>
  <c r="I86" i="32"/>
  <c r="I47" i="81"/>
  <c r="L92" i="87"/>
  <c r="E74" i="59"/>
  <c r="I55" i="91"/>
  <c r="M83" i="89"/>
  <c r="J4" i="29"/>
  <c r="E27" i="58"/>
  <c r="I57" i="53"/>
  <c r="N73" i="69"/>
  <c r="N85" i="39"/>
  <c r="I65" i="51"/>
  <c r="O36" i="61"/>
  <c r="J31" i="59"/>
  <c r="J13" i="91"/>
  <c r="H31" i="45"/>
  <c r="J10" i="64"/>
  <c r="L70" i="34"/>
  <c r="O31" i="57"/>
  <c r="L59" i="82"/>
  <c r="F25" i="85"/>
  <c r="D21" i="32"/>
  <c r="F43" i="57"/>
  <c r="E25" i="47"/>
  <c r="J31" i="38"/>
  <c r="L77" i="43"/>
  <c r="O46" i="89"/>
  <c r="F94" i="85"/>
  <c r="I28" i="71"/>
  <c r="H70" i="40"/>
  <c r="G86" i="45"/>
  <c r="CK76" i="3"/>
  <c r="J83" i="66"/>
  <c r="D20" i="87"/>
  <c r="L56" i="36"/>
  <c r="F83" i="85"/>
  <c r="J31" i="58"/>
  <c r="M107" i="80"/>
  <c r="F14" i="86"/>
  <c r="K32" i="34"/>
  <c r="N14" i="62"/>
  <c r="J35" i="36"/>
  <c r="I22" i="29"/>
  <c r="N71" i="89"/>
  <c r="D7" i="93"/>
  <c r="N44" i="58"/>
  <c r="I18" i="61"/>
  <c r="G8" i="50"/>
  <c r="F54" i="91"/>
  <c r="J79" i="29"/>
  <c r="D22" i="69"/>
  <c r="D16" i="73"/>
  <c r="F32" i="33"/>
  <c r="G104" i="58"/>
  <c r="N67" i="65"/>
  <c r="E34" i="85"/>
  <c r="G57" i="59"/>
  <c r="E37" i="27"/>
  <c r="J4" i="62"/>
  <c r="N94" i="78"/>
  <c r="L47" i="41"/>
  <c r="K103" i="80"/>
  <c r="H32" i="42"/>
  <c r="G77" i="40"/>
  <c r="M35" i="82"/>
  <c r="I25" i="55"/>
  <c r="I42" i="53"/>
  <c r="E51" i="74"/>
  <c r="J52" i="76"/>
  <c r="G26" i="44"/>
  <c r="L85" i="46"/>
  <c r="J22" i="67"/>
  <c r="G94" i="46"/>
  <c r="F24" i="65"/>
  <c r="I44" i="84"/>
  <c r="N12" i="26"/>
  <c r="O23" i="32"/>
  <c r="F34" i="48"/>
  <c r="M8" i="40"/>
  <c r="H97" i="93"/>
  <c r="L61" i="92"/>
  <c r="N16" i="61"/>
  <c r="G20" i="82"/>
  <c r="E95" i="64"/>
  <c r="F21" i="47"/>
  <c r="D94" i="76"/>
  <c r="N61" i="57"/>
  <c r="L50" i="44"/>
  <c r="E14" i="36"/>
  <c r="F61" i="93"/>
  <c r="D15" i="41"/>
  <c r="M53" i="83"/>
  <c r="O37" i="89"/>
  <c r="E9" i="85"/>
  <c r="D91" i="60"/>
  <c r="F103" i="57"/>
  <c r="F103" i="61"/>
  <c r="E30" i="43"/>
  <c r="G13" i="78"/>
  <c r="J50" i="51"/>
  <c r="I107" i="50"/>
  <c r="M30" i="38"/>
  <c r="L51" i="60"/>
  <c r="L107" i="32"/>
  <c r="E47" i="47"/>
  <c r="G8" i="75"/>
  <c r="I25" i="64"/>
  <c r="F10" i="44"/>
  <c r="E43" i="47"/>
  <c r="E12" i="56"/>
  <c r="D49" i="39"/>
  <c r="F16" i="27"/>
  <c r="E52" i="73"/>
  <c r="F46" i="33"/>
  <c r="K11" i="66"/>
  <c r="M59" i="44"/>
  <c r="O37" i="46"/>
  <c r="F30" i="41"/>
  <c r="L45" i="61"/>
  <c r="E88" i="45"/>
  <c r="F62" i="62"/>
  <c r="H45" i="74"/>
  <c r="J37" i="58"/>
  <c r="N92" i="83"/>
  <c r="N67" i="91"/>
  <c r="F42" i="65"/>
  <c r="N46" i="83"/>
  <c r="D6" i="52"/>
  <c r="H7" i="60"/>
  <c r="I106" i="87"/>
  <c r="O15" i="71"/>
  <c r="N54" i="77"/>
  <c r="N18" i="25"/>
  <c r="F71" i="41"/>
  <c r="H56" i="89"/>
  <c r="H92" i="33"/>
  <c r="J103" i="94"/>
  <c r="K13" i="43"/>
  <c r="E30" i="56"/>
  <c r="M104" i="44"/>
  <c r="E101" i="59"/>
  <c r="L56" i="39"/>
  <c r="M4" i="27"/>
  <c r="N104" i="92"/>
  <c r="F104" i="56"/>
  <c r="J107" i="73"/>
  <c r="K51" i="77"/>
  <c r="H104" i="63"/>
  <c r="L98" i="57"/>
  <c r="K59" i="66"/>
  <c r="J48" i="33"/>
  <c r="N88" i="87"/>
  <c r="M46" i="80"/>
  <c r="O106" i="81"/>
  <c r="I79" i="45"/>
  <c r="K58" i="78"/>
  <c r="L89" i="69"/>
  <c r="M12" i="62"/>
  <c r="M53" i="87"/>
  <c r="J28" i="63"/>
  <c r="K28" i="25"/>
  <c r="M52" i="60"/>
  <c r="K61" i="63"/>
  <c r="D26" i="86"/>
  <c r="H86" i="49"/>
  <c r="L86" i="72"/>
  <c r="O20" i="63"/>
  <c r="H71" i="77"/>
  <c r="O80" i="34"/>
  <c r="D40" i="22"/>
  <c r="E89" i="38"/>
  <c r="K18" i="73"/>
  <c r="L14" i="60"/>
  <c r="D94" i="70"/>
  <c r="O59" i="62"/>
  <c r="H94" i="47"/>
  <c r="M39" i="91"/>
  <c r="E37" i="59"/>
  <c r="G91" i="94"/>
  <c r="G100" i="26"/>
  <c r="O89" i="41"/>
  <c r="M18" i="29"/>
  <c r="I28" i="45"/>
  <c r="M48" i="30"/>
  <c r="O35" i="75"/>
  <c r="G86" i="74"/>
  <c r="N38" i="87"/>
  <c r="CI52" i="3"/>
  <c r="I49" i="81"/>
  <c r="J48" i="90"/>
  <c r="F10" i="83"/>
  <c r="G32" i="19"/>
  <c r="K15" i="82"/>
  <c r="I32" i="90"/>
  <c r="E31" i="86"/>
  <c r="K26" i="75"/>
  <c r="L25" i="27"/>
  <c r="F52" i="53"/>
  <c r="M23" i="77"/>
  <c r="K13" i="57"/>
  <c r="F88" i="85"/>
  <c r="J32" i="66"/>
  <c r="F55" i="39"/>
  <c r="D12" i="55"/>
  <c r="K22" i="70"/>
  <c r="O22" i="47"/>
  <c r="L24" i="39"/>
  <c r="M65" i="91"/>
  <c r="R64" i="96"/>
  <c r="H73" i="33"/>
  <c r="E89" i="75"/>
  <c r="E52" i="60"/>
  <c r="H74" i="92"/>
  <c r="I89" i="36"/>
  <c r="E32"/>
  <c r="L21" i="83"/>
  <c r="O83" i="63"/>
  <c r="F41" i="79"/>
  <c r="O49" i="59"/>
  <c r="I38"/>
  <c r="O39" i="70"/>
  <c r="H51" i="33"/>
  <c r="M68" i="74"/>
  <c r="I53" i="58"/>
  <c r="H70" i="74"/>
  <c r="D24" i="60"/>
  <c r="F29"/>
  <c r="K67" i="92"/>
  <c r="F23" i="64"/>
  <c r="M43" i="91"/>
  <c r="M50" i="40"/>
  <c r="N80" i="46"/>
  <c r="U56" i="96"/>
  <c r="E4" i="87"/>
  <c r="N39" i="39"/>
  <c r="G24" i="34"/>
  <c r="H19" i="47"/>
  <c r="H67" i="78"/>
  <c r="M65" i="29"/>
  <c r="F44" i="45"/>
  <c r="D43" i="66"/>
  <c r="E11" i="54"/>
  <c r="O26" i="30"/>
  <c r="N62" i="25"/>
  <c r="K31" i="55"/>
  <c r="N43" i="34"/>
  <c r="H97" i="25"/>
  <c r="F18" i="41"/>
  <c r="N85" i="26"/>
  <c r="K71" i="65"/>
  <c r="K67" i="46"/>
  <c r="I4" i="70"/>
  <c r="H101" i="65"/>
  <c r="L43" i="70"/>
  <c r="G10" i="86"/>
  <c r="I59" i="94"/>
  <c r="H71" i="69"/>
  <c r="H88" i="84"/>
  <c r="E73" i="33"/>
  <c r="I62" i="70"/>
  <c r="L18" i="49"/>
  <c r="E98" i="68"/>
  <c r="K71" i="25"/>
  <c r="J101" i="75"/>
  <c r="O86" i="70"/>
  <c r="F53" i="72"/>
  <c r="O61" i="69"/>
  <c r="C15" i="96"/>
  <c r="I62" i="50"/>
  <c r="F100" i="34"/>
  <c r="I54" i="38"/>
  <c r="E28" i="94"/>
  <c r="K34" i="43"/>
  <c r="K70" i="64"/>
  <c r="O29" i="27"/>
  <c r="J8" i="92"/>
  <c r="I8" i="69"/>
  <c r="M74" i="33"/>
  <c r="O28" i="83"/>
  <c r="M74" i="19"/>
  <c r="D20" i="68"/>
  <c r="M36" i="66"/>
  <c r="L107" i="69"/>
  <c r="D68" i="87"/>
  <c r="F52" i="68"/>
  <c r="E48" i="62"/>
  <c r="L14" i="78"/>
  <c r="M14" i="19"/>
  <c r="CJ36" i="3" s="1"/>
  <c r="J67" i="45"/>
  <c r="O30" i="96"/>
  <c r="F61" i="47"/>
  <c r="N29" i="60"/>
  <c r="I97" i="90"/>
  <c r="O45" i="96"/>
  <c r="C29" i="22"/>
  <c r="J23" i="51"/>
  <c r="O13" i="78"/>
  <c r="L18" i="19"/>
  <c r="G20" i="47"/>
  <c r="N68" i="81"/>
  <c r="G44" i="86"/>
  <c r="G13" i="85"/>
  <c r="K32" i="66"/>
  <c r="L44" i="35"/>
  <c r="O68" i="27"/>
  <c r="J89" i="89"/>
  <c r="G79" i="78"/>
  <c r="H82" i="77"/>
  <c r="D65" i="81"/>
  <c r="F70"/>
  <c r="O41" i="53"/>
  <c r="O34" i="73"/>
  <c r="H88" i="63"/>
  <c r="G100" i="61"/>
  <c r="H35" i="63"/>
  <c r="N29" i="48"/>
  <c r="G10" i="80"/>
  <c r="K46" i="71"/>
  <c r="I103" i="47"/>
  <c r="I47" i="86"/>
  <c r="K61" i="84"/>
  <c r="J41" i="29"/>
  <c r="M47" i="66"/>
  <c r="D43" i="51"/>
  <c r="J14" i="92"/>
  <c r="M46" i="46"/>
  <c r="F6"/>
  <c r="H58" i="67"/>
  <c r="I82" i="76"/>
  <c r="L91" i="81"/>
  <c r="M100" i="70"/>
  <c r="O42" i="26"/>
  <c r="N42" i="65"/>
  <c r="E24" i="45"/>
  <c r="H74" i="68"/>
  <c r="H73" i="57"/>
  <c r="O49" i="84"/>
  <c r="K27" i="93"/>
  <c r="N68" i="46"/>
  <c r="O98" i="55"/>
  <c r="N26" i="30"/>
  <c r="M53" i="70"/>
  <c r="K100" i="56"/>
  <c r="N43" i="45"/>
  <c r="I82" i="46"/>
  <c r="O47" i="51"/>
  <c r="I44" i="83"/>
  <c r="L6" i="86"/>
  <c r="O11" i="64"/>
  <c r="F32" i="51"/>
  <c r="E94" i="78"/>
  <c r="N83" i="34"/>
  <c r="D58" i="86"/>
  <c r="J14" i="64"/>
  <c r="F67" i="91"/>
  <c r="J71"/>
  <c r="E106" i="89"/>
  <c r="O49" i="78"/>
  <c r="O12" i="89"/>
  <c r="F71" i="32"/>
  <c r="M77" i="53"/>
  <c r="E79" i="41"/>
  <c r="J91" i="58"/>
  <c r="F50" i="59"/>
  <c r="L67" i="44"/>
  <c r="I27" i="63"/>
  <c r="K94" i="64"/>
  <c r="F76" i="46"/>
  <c r="L39" i="96"/>
  <c r="G53" i="73"/>
  <c r="D106" i="64"/>
  <c r="J47" i="91"/>
  <c r="E21" i="62"/>
  <c r="O29" i="65"/>
  <c r="N33" i="56"/>
  <c r="M47" i="94"/>
  <c r="L24" i="40"/>
  <c r="J12" i="70"/>
  <c r="O28" i="36"/>
  <c r="N59" i="66"/>
  <c r="J27" i="82"/>
  <c r="G76" i="55"/>
  <c r="J98" i="68"/>
  <c r="J59" i="76"/>
  <c r="H25" i="90"/>
  <c r="M73" i="94"/>
  <c r="G55" i="65"/>
  <c r="I50" i="61"/>
  <c r="J6" i="43"/>
  <c r="N71" i="74"/>
  <c r="I4" i="35"/>
  <c r="K97" i="46"/>
  <c r="E76" i="43"/>
  <c r="F80" i="63"/>
  <c r="F68" i="38"/>
  <c r="F51" i="94"/>
  <c r="I23" i="76"/>
  <c r="O43" i="74"/>
  <c r="J83" i="58"/>
  <c r="K46" i="68"/>
  <c r="H65" i="86"/>
  <c r="K106" i="69"/>
  <c r="N42" i="59"/>
  <c r="I11" i="29"/>
  <c r="O8" i="35"/>
  <c r="O101"/>
  <c r="G55" i="36"/>
  <c r="M8" i="56"/>
  <c r="D73" i="42"/>
  <c r="D74" i="25"/>
  <c r="N23" i="63"/>
  <c r="F73" i="89"/>
  <c r="H21" i="68"/>
  <c r="N15" i="63"/>
  <c r="I80" i="81"/>
  <c r="M21"/>
  <c r="K21" i="46"/>
  <c r="G23" i="81"/>
  <c r="K18" i="22"/>
  <c r="F106" i="73"/>
  <c r="H37" i="38"/>
  <c r="L48" i="30"/>
  <c r="M55" i="86"/>
  <c r="E17" i="64"/>
  <c r="L61" i="91"/>
  <c r="I46" i="87"/>
  <c r="N23" i="91"/>
  <c r="I92" i="84"/>
  <c r="L19" i="56"/>
  <c r="K8" i="90"/>
  <c r="H67" i="84"/>
  <c r="CI65" i="3"/>
  <c r="G34" i="92"/>
  <c r="M101" i="25"/>
  <c r="E24" i="70"/>
  <c r="K15" i="61"/>
  <c r="G7" i="51"/>
  <c r="M24" i="26"/>
  <c r="E71" i="33"/>
  <c r="O107" i="25"/>
  <c r="G46" i="32"/>
  <c r="G65" i="79"/>
  <c r="M70" i="59"/>
  <c r="H35" i="82"/>
  <c r="D26" i="45"/>
  <c r="H37" i="89"/>
  <c r="E107" i="32"/>
  <c r="N37" i="49"/>
  <c r="R17" i="96"/>
  <c r="J54" i="87"/>
  <c r="F65" i="59"/>
  <c r="N54" i="86"/>
  <c r="I104" i="57"/>
  <c r="F98" i="85"/>
  <c r="H51" i="86"/>
  <c r="G89" i="58"/>
  <c r="F32" i="36"/>
  <c r="I26" i="51"/>
  <c r="G26" i="72"/>
  <c r="G32" i="58"/>
  <c r="I45" i="52"/>
  <c r="E31" i="78"/>
  <c r="M100" i="56"/>
  <c r="O10" i="40"/>
  <c r="O82" i="39"/>
  <c r="J27" i="36"/>
  <c r="J6" i="75"/>
  <c r="L41" i="55"/>
  <c r="H35" i="62"/>
  <c r="K12" i="59"/>
  <c r="F34" i="32"/>
  <c r="E20" i="68"/>
  <c r="N98" i="77"/>
  <c r="H29" i="50"/>
  <c r="K45" i="43"/>
  <c r="N19" i="34"/>
  <c r="M24" i="64"/>
  <c r="I65" i="60"/>
  <c r="E12" i="65"/>
  <c r="F67" i="51"/>
  <c r="D43" i="79"/>
  <c r="G106" i="58"/>
  <c r="L61" i="72"/>
  <c r="J20" i="50"/>
  <c r="E9" i="44"/>
  <c r="E30" i="25"/>
  <c r="F55" i="49"/>
  <c r="I107" i="35"/>
  <c r="M51" i="33"/>
  <c r="K50" i="84"/>
  <c r="N59" i="48"/>
  <c r="K52" i="27"/>
  <c r="F59" i="86"/>
  <c r="E32" i="47"/>
  <c r="O77" i="90"/>
  <c r="O55" i="32"/>
  <c r="N26" i="59"/>
  <c r="L70" i="61"/>
  <c r="L39" i="74"/>
  <c r="N94" i="71"/>
  <c r="E80" i="62"/>
  <c r="E36" i="36"/>
  <c r="M85" i="19"/>
  <c r="I104"/>
  <c r="G52" i="55"/>
  <c r="I31" i="86"/>
  <c r="F76"/>
  <c r="D107" i="90"/>
  <c r="O27" i="33"/>
  <c r="L41" i="45"/>
  <c r="H40" i="55"/>
  <c r="D41" i="65"/>
  <c r="D13" i="83"/>
  <c r="N46" i="48"/>
  <c r="F36" i="27"/>
  <c r="L15" i="35"/>
  <c r="L61" i="81"/>
  <c r="G71" i="80"/>
  <c r="F39" i="52"/>
  <c r="M13" i="69"/>
  <c r="F54" i="74"/>
  <c r="K4" i="73"/>
  <c r="L57" i="25"/>
  <c r="G24" i="62"/>
  <c r="M36" i="90"/>
  <c r="M41" i="32"/>
  <c r="K65" i="78"/>
  <c r="L82"/>
  <c r="G107" i="33"/>
  <c r="D7" i="26"/>
  <c r="D40" i="19"/>
  <c r="C25" i="22" s="1"/>
  <c r="O8" i="59"/>
  <c r="E20" i="84"/>
  <c r="E104" i="32"/>
  <c r="I52"/>
  <c r="H88" i="57"/>
  <c r="G70" i="94"/>
  <c r="E38"/>
  <c r="D70" i="36"/>
  <c r="O79" i="32"/>
  <c r="K41" i="36"/>
  <c r="K89" i="76"/>
  <c r="L25" i="19"/>
  <c r="N5" i="66"/>
  <c r="K65" i="93"/>
  <c r="I71" i="26"/>
  <c r="M23" i="35"/>
  <c r="M98" i="91"/>
  <c r="N27" i="66"/>
  <c r="L86" i="53"/>
  <c r="H91" i="76"/>
  <c r="F28" i="36"/>
  <c r="E55" i="60"/>
  <c r="I15" i="40"/>
  <c r="E100" i="87"/>
  <c r="J91" i="56"/>
  <c r="D59" i="50"/>
  <c r="F20" i="32"/>
  <c r="O61" i="84"/>
  <c r="E45" i="94"/>
  <c r="G57" i="73"/>
  <c r="K100" i="49"/>
  <c r="H56" i="82"/>
  <c r="E67" i="70"/>
  <c r="F45" i="81"/>
  <c r="J80" i="77"/>
  <c r="G38" i="64"/>
  <c r="G39" i="26"/>
  <c r="J101" i="51"/>
  <c r="D55" i="27"/>
  <c r="M5" i="78"/>
  <c r="G74" i="35"/>
  <c r="L85" i="33"/>
  <c r="H52" i="85"/>
  <c r="K53" i="53"/>
  <c r="G55" i="77"/>
  <c r="J65" i="76"/>
  <c r="O33" i="74"/>
  <c r="CL27" i="3"/>
  <c r="E6" i="68"/>
  <c r="M8" i="94"/>
  <c r="K35" i="51"/>
  <c r="M11" i="92"/>
  <c r="J70" i="61"/>
  <c r="J70" i="90"/>
  <c r="F16" i="85"/>
  <c r="J73" i="65"/>
  <c r="G7" i="77"/>
  <c r="N71" i="64"/>
  <c r="M24" i="80"/>
  <c r="N45" i="40"/>
  <c r="G83" i="82"/>
  <c r="F73" i="55"/>
  <c r="F15" i="67"/>
  <c r="H42" i="94"/>
  <c r="K35" i="86"/>
  <c r="E85" i="59"/>
  <c r="G83" i="32"/>
  <c r="E53" i="43"/>
  <c r="M41" i="48"/>
  <c r="E51" i="45"/>
  <c r="O43" i="56"/>
  <c r="E103" i="42"/>
  <c r="D10" i="62"/>
  <c r="M45" i="30"/>
  <c r="G28" i="36"/>
  <c r="N106" i="46"/>
  <c r="I15" i="34"/>
  <c r="J71" i="51"/>
  <c r="H15" i="45"/>
  <c r="J18" i="89"/>
  <c r="M13" i="35"/>
  <c r="I71" i="68"/>
  <c r="N48" i="36"/>
  <c r="M26" i="32"/>
  <c r="K43" i="45"/>
  <c r="G36" i="57"/>
  <c r="D42" i="38"/>
  <c r="I94" i="27"/>
  <c r="D37" i="36"/>
  <c r="H54" i="29"/>
  <c r="D32" i="61"/>
  <c r="I74" i="76"/>
  <c r="F62" i="56"/>
  <c r="N91" i="32"/>
  <c r="H86" i="30"/>
  <c r="D9" i="19"/>
  <c r="G55" i="25"/>
  <c r="G62" i="56"/>
  <c r="F86" i="19"/>
  <c r="D86" i="93"/>
  <c r="F19" i="32"/>
  <c r="G15" i="62"/>
  <c r="D26" i="43"/>
  <c r="J9" i="67"/>
  <c r="K57" i="86"/>
  <c r="I49" i="30"/>
  <c r="K50" i="38"/>
  <c r="K77" i="53"/>
  <c r="O26" i="48"/>
  <c r="H85" i="27"/>
  <c r="J95" i="62"/>
  <c r="G38" i="39"/>
  <c r="O83" i="41"/>
  <c r="O58" i="30"/>
  <c r="K89" i="89"/>
  <c r="L6" i="36"/>
  <c r="D39" i="83"/>
  <c r="K35" i="60"/>
  <c r="H91" i="63"/>
  <c r="J6" i="36"/>
  <c r="F25" i="71"/>
  <c r="I14" i="41"/>
  <c r="D27" i="64"/>
  <c r="L83" i="32"/>
  <c r="I13" i="60"/>
  <c r="H77" i="82"/>
  <c r="H40" i="43"/>
  <c r="O98" i="45"/>
  <c r="M61" i="61"/>
  <c r="D57" i="57"/>
  <c r="E67" i="35"/>
  <c r="M53" i="48"/>
  <c r="D42" i="87"/>
  <c r="E10" i="46"/>
  <c r="D29" i="39"/>
  <c r="F79" i="36"/>
  <c r="G34" i="41"/>
  <c r="N36" i="36"/>
  <c r="CG38" i="3"/>
  <c r="D34" i="69"/>
  <c r="D24" i="80"/>
  <c r="O58" i="74"/>
  <c r="CH77" i="3"/>
  <c r="M20" i="93"/>
  <c r="N64" i="94"/>
  <c r="F43" i="51"/>
  <c r="H16" i="36"/>
  <c r="K27" i="92"/>
  <c r="N106" i="83"/>
  <c r="N62" i="66"/>
  <c r="I31" i="84"/>
  <c r="I23" i="60"/>
  <c r="I24" i="89"/>
  <c r="H104" i="61"/>
  <c r="K38" i="45"/>
  <c r="E56" i="44"/>
  <c r="O21" i="35"/>
  <c r="G40" i="63"/>
  <c r="O88" i="76"/>
  <c r="D53" i="40"/>
  <c r="X12" i="96" s="1"/>
  <c r="J107" i="43"/>
  <c r="E56" i="68"/>
  <c r="F85" i="66"/>
  <c r="F65" i="56"/>
  <c r="O88" i="73"/>
  <c r="E16" i="66"/>
  <c r="K26" i="30"/>
  <c r="D24" i="36"/>
  <c r="E34" i="25"/>
  <c r="K13" i="92"/>
  <c r="J67" i="76"/>
  <c r="M23" i="49"/>
  <c r="N64" i="59"/>
  <c r="I27" i="75"/>
  <c r="N29" i="67"/>
  <c r="H23" i="46"/>
  <c r="I58" i="84"/>
  <c r="I39" i="39"/>
  <c r="F27" i="66"/>
  <c r="L43" i="56"/>
  <c r="N79" i="87"/>
  <c r="G94" i="65"/>
  <c r="D88" i="39"/>
  <c r="D42"/>
  <c r="O40" i="72"/>
  <c r="K98" i="46"/>
  <c r="O15" i="27"/>
  <c r="N68" i="25"/>
  <c r="N103" i="78"/>
  <c r="E11" i="65"/>
  <c r="E70" i="44"/>
  <c r="E47" i="54"/>
  <c r="J45" i="48"/>
  <c r="G57" i="93"/>
  <c r="I91" i="33"/>
  <c r="E85" i="67"/>
  <c r="J104" i="25"/>
  <c r="N71" i="73"/>
  <c r="F16" i="68"/>
  <c r="K98" i="67"/>
  <c r="D36" i="44"/>
  <c r="H71" i="70"/>
  <c r="E70" i="73"/>
  <c r="D17" i="41"/>
  <c r="F52" i="84"/>
  <c r="F44" i="91"/>
  <c r="M39" i="67"/>
  <c r="E7" i="48"/>
  <c r="L26" i="34"/>
  <c r="F10" i="85"/>
  <c r="N17" i="53"/>
  <c r="E15" i="79"/>
  <c r="H9" i="47"/>
  <c r="J41" i="44"/>
  <c r="E35" i="49"/>
  <c r="E6" i="92"/>
  <c r="H19" i="94"/>
  <c r="G79" i="53"/>
  <c r="I9" i="93"/>
  <c r="D42" i="40"/>
  <c r="E21" i="65"/>
  <c r="O57" i="54"/>
  <c r="CH37" i="3"/>
  <c r="J76" i="27"/>
  <c r="H7"/>
  <c r="F6" i="35"/>
  <c r="H94" i="34"/>
  <c r="H30" i="87"/>
  <c r="L48" i="89"/>
  <c r="D77" i="74"/>
  <c r="G12" i="92"/>
  <c r="D67" i="47"/>
  <c r="I68" i="48"/>
  <c r="L62" i="39"/>
  <c r="G62" i="74"/>
  <c r="D104" i="30"/>
  <c r="H52" i="43"/>
  <c r="J53" i="25"/>
  <c r="N54" i="30"/>
  <c r="O19" i="41"/>
  <c r="E5" i="30"/>
  <c r="H83" i="78"/>
  <c r="L58" i="46"/>
  <c r="M24" i="27"/>
  <c r="M15" i="80"/>
  <c r="L6" i="40"/>
  <c r="M45"/>
  <c r="D28" i="61"/>
  <c r="F82" i="56"/>
  <c r="E54" i="68"/>
  <c r="M36" i="39"/>
  <c r="L91" i="56"/>
  <c r="I68" i="66"/>
  <c r="O11" i="86"/>
  <c r="L45" i="87"/>
  <c r="L7" i="43"/>
  <c r="CI29" i="3" s="1"/>
  <c r="L14" i="44"/>
  <c r="K48" i="30"/>
  <c r="J39" i="26"/>
  <c r="N16" i="47"/>
  <c r="I95" i="82"/>
  <c r="D94" i="43"/>
  <c r="K104" i="60"/>
  <c r="I23" i="56"/>
  <c r="N55" i="86"/>
  <c r="J4" i="74"/>
  <c r="I77" i="84"/>
  <c r="K12" i="46"/>
  <c r="M9" i="32"/>
  <c r="F52" i="41"/>
  <c r="I95" i="46"/>
  <c r="D12" i="39"/>
  <c r="M56" i="59"/>
  <c r="D7" i="91"/>
  <c r="K79" i="25"/>
  <c r="I97" i="32"/>
  <c r="K94" i="49"/>
  <c r="L8" i="72"/>
  <c r="F97" i="64"/>
  <c r="G52" i="89"/>
  <c r="J13" i="19"/>
  <c r="CG35" i="3" s="1"/>
  <c r="I9" i="48"/>
  <c r="L88" i="39"/>
  <c r="I26" i="80"/>
  <c r="L51" i="25"/>
  <c r="O35" i="49"/>
  <c r="F28" i="47"/>
  <c r="D12" i="44"/>
  <c r="M97" i="59"/>
  <c r="G12" i="36"/>
  <c r="F67" i="73"/>
  <c r="K103" i="75"/>
  <c r="M4" i="38"/>
  <c r="F47" i="90"/>
  <c r="K10" i="94"/>
  <c r="N35" i="68"/>
  <c r="F71" i="87"/>
  <c r="J26" i="26"/>
  <c r="D79" i="59"/>
  <c r="I95" i="68"/>
  <c r="N74" i="63"/>
  <c r="N59" i="30"/>
  <c r="E35" i="91"/>
  <c r="J31" i="29"/>
  <c r="J57" i="63"/>
  <c r="L76" i="74"/>
  <c r="I61" i="57"/>
  <c r="J71" i="35"/>
  <c r="I40" i="45"/>
  <c r="I88" i="92"/>
  <c r="D37" i="35"/>
  <c r="K83" i="86"/>
  <c r="D100" i="54"/>
  <c r="K62" i="47"/>
  <c r="J10" i="69"/>
  <c r="G77" i="34"/>
  <c r="I55" i="72"/>
  <c r="H94" i="56"/>
  <c r="L50" i="86"/>
  <c r="H34" i="90"/>
  <c r="I16" i="50"/>
  <c r="O64" i="30"/>
  <c r="N32" i="36"/>
  <c r="J40" i="72"/>
  <c r="N4" i="45"/>
  <c r="F47" i="47"/>
  <c r="M12"/>
  <c r="L21" i="86"/>
  <c r="CC78" i="3"/>
  <c r="I17" i="48"/>
  <c r="F11" i="46"/>
  <c r="H38" i="89"/>
  <c r="K12" i="70"/>
  <c r="K76" i="67"/>
  <c r="N71" i="38"/>
  <c r="D41" i="56"/>
  <c r="J18" i="75"/>
  <c r="M25" i="77"/>
  <c r="O16" i="73"/>
  <c r="L82" i="67"/>
  <c r="K26" i="46"/>
  <c r="F51" i="32"/>
  <c r="M80" i="94"/>
  <c r="N82" i="29"/>
  <c r="H31" i="83"/>
  <c r="E43" i="68"/>
  <c r="D58" i="89"/>
  <c r="D49" i="50"/>
  <c r="K11" i="32"/>
  <c r="D55" i="50"/>
  <c r="N43" i="44"/>
  <c r="I98" i="73"/>
  <c r="K106" i="71"/>
  <c r="D98" i="76"/>
  <c r="O36" i="89"/>
  <c r="I89" i="84"/>
  <c r="K59"/>
  <c r="K16" i="73"/>
  <c r="R28" i="96"/>
  <c r="N43" i="58"/>
  <c r="I80" i="40"/>
  <c r="N47" i="48"/>
  <c r="M57" i="49"/>
  <c r="J27" i="91"/>
  <c r="L67" i="51"/>
  <c r="O47" i="45"/>
  <c r="K30" i="48"/>
  <c r="D94" i="68"/>
  <c r="I23" i="83"/>
  <c r="K9" i="27"/>
  <c r="I21" i="25"/>
  <c r="J51" i="68"/>
  <c r="L43" i="29"/>
  <c r="H13" i="44"/>
  <c r="I28" i="77"/>
  <c r="L104" i="41"/>
  <c r="D10" i="48"/>
  <c r="I73" i="73"/>
  <c r="H32" i="53"/>
  <c r="G38" i="94"/>
  <c r="J37" i="48"/>
  <c r="J70" i="38"/>
  <c r="M101" i="55"/>
  <c r="G70" i="30"/>
  <c r="I95" i="70"/>
  <c r="D33" i="61"/>
  <c r="N107" i="70"/>
  <c r="D83" i="92"/>
  <c r="H80" i="29"/>
  <c r="E4" i="38"/>
  <c r="D74" i="44"/>
  <c r="N98" i="92"/>
  <c r="N4" i="59"/>
  <c r="G9" i="49"/>
  <c r="N107" i="19"/>
  <c r="D9" i="45"/>
  <c r="H32" i="25"/>
  <c r="J8" i="41"/>
  <c r="K42" i="78"/>
  <c r="M52" i="55"/>
  <c r="H6" i="94"/>
  <c r="L95" i="26"/>
  <c r="M101" i="51"/>
  <c r="M49" i="60"/>
  <c r="F35" i="65"/>
  <c r="H106" i="67"/>
  <c r="L50" i="49"/>
  <c r="N33" i="69"/>
  <c r="H37" i="27"/>
  <c r="I30" i="25"/>
  <c r="D98" i="79"/>
  <c r="G51"/>
  <c r="O47" i="46"/>
  <c r="M80" i="89"/>
  <c r="G38" i="74"/>
  <c r="F91" i="46"/>
  <c r="J59" i="69"/>
  <c r="F19" i="33"/>
  <c r="I6" i="36"/>
  <c r="G53" i="59"/>
  <c r="M21" i="75"/>
  <c r="I97" i="41"/>
  <c r="N27" i="40"/>
  <c r="K8" i="39"/>
  <c r="L68" i="76"/>
  <c r="L27" i="74"/>
  <c r="K106" i="32"/>
  <c r="H94" i="85"/>
  <c r="I62" i="59"/>
  <c r="M8" i="90"/>
  <c r="D8" i="52"/>
  <c r="G17" i="72"/>
  <c r="K45" i="83"/>
  <c r="G64" i="78"/>
  <c r="G24" i="54"/>
  <c r="G49" i="89"/>
  <c r="M101" i="33"/>
  <c r="F8" i="84"/>
  <c r="I89" i="86"/>
  <c r="I38" i="76"/>
  <c r="I32" i="47"/>
  <c r="O38" i="74"/>
  <c r="M29" i="48"/>
  <c r="O67" i="77"/>
  <c r="N101" i="80"/>
  <c r="O64" i="68"/>
  <c r="O17" i="25"/>
  <c r="I9" i="52"/>
  <c r="I36" i="48"/>
  <c r="L42" i="55"/>
  <c r="M76"/>
  <c r="L43" i="45"/>
  <c r="I70" i="66"/>
  <c r="I52" i="90"/>
  <c r="F33" i="34"/>
  <c r="H47" i="38"/>
  <c r="E29" i="56"/>
  <c r="O4" i="44"/>
  <c r="O65" i="64"/>
  <c r="G45" i="29"/>
  <c r="F88" i="87"/>
  <c r="E49" i="27"/>
  <c r="K74" i="33"/>
  <c r="O98" i="76"/>
  <c r="N46" i="47"/>
  <c r="J52" i="89"/>
  <c r="L10" i="77"/>
  <c r="L15" i="32"/>
  <c r="E79" i="54"/>
  <c r="D23" i="32"/>
  <c r="O57" i="76"/>
  <c r="N53" i="77"/>
  <c r="H97" i="54"/>
  <c r="J39" i="30"/>
  <c r="F88" i="43"/>
  <c r="D13" i="26"/>
  <c r="O64" i="35"/>
  <c r="K89" i="94"/>
  <c r="E65" i="54"/>
  <c r="H39" i="56"/>
  <c r="K16" i="87"/>
  <c r="N32" i="64"/>
  <c r="K42" i="60"/>
  <c r="O38" i="83"/>
  <c r="O55" i="94"/>
  <c r="E100" i="32"/>
  <c r="O48" i="87"/>
  <c r="I103" i="56"/>
  <c r="G79" i="30"/>
  <c r="O35" i="86"/>
  <c r="I18" i="78"/>
  <c r="L41" i="84"/>
  <c r="N44" i="92"/>
  <c r="H6" i="42"/>
  <c r="J106" i="36"/>
  <c r="I53" i="27"/>
  <c r="N73" i="86"/>
  <c r="O76" i="82"/>
  <c r="K43" i="25"/>
  <c r="O100" i="57"/>
  <c r="I37" i="96"/>
  <c r="H45" i="61"/>
  <c r="K52" i="53"/>
  <c r="CD29" i="3"/>
  <c r="M56" i="75"/>
  <c r="O11" i="80"/>
  <c r="N16" i="25"/>
  <c r="G8" i="64"/>
  <c r="E64" i="58"/>
  <c r="N50" i="57"/>
  <c r="G82" i="79"/>
  <c r="G48" i="48"/>
  <c r="J9" i="58"/>
  <c r="G95" i="46"/>
  <c r="M49" i="63"/>
  <c r="J44" i="35"/>
  <c r="K58" i="59"/>
  <c r="E5" i="19"/>
  <c r="CB27" i="3" s="1"/>
  <c r="H10" i="33"/>
  <c r="L14" i="82"/>
  <c r="M106" i="65"/>
  <c r="I82" i="47"/>
  <c r="N76" i="26"/>
  <c r="K61" i="76"/>
  <c r="J100" i="49"/>
  <c r="I55" i="89"/>
  <c r="N33" i="81"/>
  <c r="N4" i="54"/>
  <c r="I12" i="79"/>
  <c r="J79" i="71"/>
  <c r="E8" i="79"/>
  <c r="I68" i="69"/>
  <c r="J13" i="57"/>
  <c r="N50" i="75"/>
  <c r="J45" i="27"/>
  <c r="K10" i="87"/>
  <c r="H73" i="93"/>
  <c r="N34"/>
  <c r="G19" i="91"/>
  <c r="E48" i="54"/>
  <c r="K79" i="26"/>
  <c r="L29" i="27"/>
  <c r="L24" i="87"/>
  <c r="F86" i="81"/>
  <c r="N68" i="65"/>
  <c r="E95" i="56"/>
  <c r="K9" i="91"/>
  <c r="N76" i="82"/>
  <c r="L7" i="80"/>
  <c r="U25" i="96"/>
  <c r="L31" i="76"/>
  <c r="F100" i="93"/>
  <c r="M70" i="34"/>
  <c r="E33" i="46"/>
  <c r="C17" i="22"/>
  <c r="D86" i="74"/>
  <c r="M46" i="61"/>
  <c r="L92" i="29"/>
  <c r="M49" i="49"/>
  <c r="H104" i="87"/>
  <c r="F62" i="35"/>
  <c r="J11" i="47"/>
  <c r="K89" i="55"/>
  <c r="G21" i="72"/>
  <c r="N5" i="70"/>
  <c r="K94" i="36"/>
  <c r="E91" i="25"/>
  <c r="J50" i="60"/>
  <c r="M55" i="26"/>
  <c r="CI32" i="3"/>
  <c r="G35" i="43"/>
  <c r="D85" i="75"/>
  <c r="H13" i="34"/>
  <c r="I44" i="42"/>
  <c r="F14" i="84"/>
  <c r="G83" i="34"/>
  <c r="M32" i="69"/>
  <c r="H8" i="90"/>
  <c r="J39" i="61"/>
  <c r="L27" i="80"/>
  <c r="I32" i="91"/>
  <c r="L40" i="33"/>
  <c r="L56" i="40"/>
  <c r="M89" i="73"/>
  <c r="H103" i="48"/>
  <c r="E11" i="82"/>
  <c r="L107" i="46"/>
  <c r="E11" i="36"/>
  <c r="H52" i="61"/>
  <c r="L58" i="65"/>
  <c r="F5" i="91"/>
  <c r="G18" i="72"/>
  <c r="O22" i="34"/>
  <c r="G12" i="77"/>
  <c r="F64" i="70"/>
  <c r="J79" i="56"/>
  <c r="L65" i="63"/>
  <c r="K91" i="62"/>
  <c r="L26" i="48"/>
  <c r="N68" i="61"/>
  <c r="E86" i="77"/>
  <c r="CI63" i="3"/>
  <c r="D47" i="46"/>
  <c r="K11" i="73"/>
  <c r="E40" i="78"/>
  <c r="M25" i="26"/>
  <c r="O18" i="39"/>
  <c r="K91" i="90"/>
  <c r="H50" i="43"/>
  <c r="M104" i="80"/>
  <c r="J17" i="94"/>
  <c r="H98" i="40"/>
  <c r="H58" i="61"/>
  <c r="D23" i="67"/>
  <c r="L54" i="32"/>
  <c r="D16" i="36"/>
  <c r="N38" i="69"/>
  <c r="O15" i="64"/>
  <c r="I23" i="41"/>
  <c r="I44" i="19"/>
  <c r="K74" i="82"/>
  <c r="O67" i="91"/>
  <c r="H103" i="59"/>
  <c r="I68" i="84"/>
  <c r="L33" i="26"/>
  <c r="J62" i="56"/>
  <c r="K98" i="53"/>
  <c r="K37" i="19"/>
  <c r="CH59" i="3" s="1"/>
  <c r="O100" i="38"/>
  <c r="F9" i="89"/>
  <c r="K51" i="58"/>
  <c r="L11" i="65"/>
  <c r="E18" i="71"/>
  <c r="H48" i="42"/>
  <c r="N91" i="93"/>
  <c r="N67" i="87"/>
  <c r="D7" i="70"/>
  <c r="O57" i="39"/>
  <c r="L37" i="34"/>
  <c r="I62" i="44"/>
  <c r="O59" i="27"/>
  <c r="N65" i="80"/>
  <c r="L25" i="91"/>
  <c r="F89" i="62"/>
  <c r="G32" i="33"/>
  <c r="O18" i="75"/>
  <c r="D82" i="60"/>
  <c r="L92" i="65"/>
  <c r="F23" i="39"/>
  <c r="F16" i="57"/>
  <c r="K6" i="44"/>
  <c r="M56" i="72"/>
  <c r="N107" i="89"/>
  <c r="H98" i="92"/>
  <c r="G55" i="61"/>
  <c r="H85" i="19"/>
  <c r="I14" i="25"/>
  <c r="D20" i="47"/>
  <c r="G41" i="59"/>
  <c r="K12" i="65"/>
  <c r="K107" i="87"/>
  <c r="G57" i="45"/>
  <c r="G79" i="35"/>
  <c r="H61" i="79"/>
  <c r="G43" i="72"/>
  <c r="E18" i="92"/>
  <c r="D5" i="86"/>
  <c r="L8"/>
  <c r="F26" i="69"/>
  <c r="E70" i="27"/>
  <c r="N104" i="47"/>
  <c r="M7" i="87"/>
  <c r="K32"/>
  <c r="F61" i="50"/>
  <c r="E18" i="46"/>
  <c r="K26" i="90"/>
  <c r="N64" i="29"/>
  <c r="G40" i="47"/>
  <c r="L21" i="80"/>
  <c r="E56" i="61"/>
  <c r="N68" i="70"/>
  <c r="O32" i="48"/>
  <c r="E74" i="94"/>
  <c r="O13" i="19"/>
  <c r="F27" i="73"/>
  <c r="J53" i="72"/>
  <c r="G64" i="76"/>
  <c r="L19" i="86"/>
  <c r="H62" i="53"/>
  <c r="I16" i="81"/>
  <c r="L77" i="80"/>
  <c r="K73" i="30"/>
  <c r="F23" i="38"/>
  <c r="F55" i="89"/>
  <c r="J32" i="65"/>
  <c r="D20" i="55"/>
  <c r="D18" i="56"/>
  <c r="K83" i="77"/>
  <c r="G57" i="76"/>
  <c r="F24" i="38"/>
  <c r="L82" i="56"/>
  <c r="M26" i="36"/>
  <c r="K39" i="80"/>
  <c r="F17" i="34"/>
  <c r="N52" i="57"/>
  <c r="E70" i="40"/>
  <c r="I83" i="66"/>
  <c r="I40" i="53"/>
  <c r="K51" i="89"/>
  <c r="E86" i="76"/>
  <c r="E97" i="49"/>
  <c r="E85" i="72"/>
  <c r="L68" i="62"/>
  <c r="H103" i="84"/>
  <c r="O29" i="49"/>
  <c r="N14" i="74"/>
  <c r="N57" i="40"/>
  <c r="F52" i="74"/>
  <c r="H50" i="40"/>
  <c r="D67" i="67"/>
  <c r="D67" i="79"/>
  <c r="L38" i="59"/>
  <c r="E71" i="64"/>
  <c r="CI68" i="3"/>
  <c r="H18" i="62"/>
  <c r="F25" i="25"/>
  <c r="F71" i="47"/>
  <c r="L4" i="77"/>
  <c r="L51" i="72"/>
  <c r="H57" i="26"/>
  <c r="N95" i="36"/>
  <c r="J22" i="58"/>
  <c r="N62" i="93"/>
  <c r="D56" i="35"/>
  <c r="G61" i="76"/>
  <c r="O70" i="69"/>
  <c r="J18" i="58"/>
  <c r="F42" i="51"/>
  <c r="L32" i="78"/>
  <c r="M47" i="77"/>
  <c r="F45" i="72"/>
  <c r="J73" i="68"/>
  <c r="N24" i="57"/>
  <c r="I83" i="52"/>
  <c r="L57" i="30"/>
  <c r="D68" i="89"/>
  <c r="G43" i="74"/>
  <c r="E71" i="35"/>
  <c r="D52" i="67"/>
  <c r="M85" i="60"/>
  <c r="I26" i="94"/>
  <c r="I15" i="92"/>
  <c r="I92" i="55"/>
  <c r="J35" i="84"/>
  <c r="G51" i="34"/>
  <c r="E10" i="53"/>
  <c r="G104" i="38"/>
  <c r="L20" i="73"/>
  <c r="H51" i="75"/>
  <c r="L53" i="77"/>
  <c r="N58" i="65"/>
  <c r="O28" i="55"/>
  <c r="K22" i="44"/>
  <c r="H34" i="77"/>
  <c r="O29" i="71"/>
  <c r="D46" i="94"/>
  <c r="H40" i="76"/>
  <c r="J94" i="65"/>
  <c r="K36" i="76"/>
  <c r="E68" i="64"/>
  <c r="F43" i="94"/>
  <c r="J41" i="50"/>
  <c r="I9" i="57"/>
  <c r="O91" i="35"/>
  <c r="I106" i="62"/>
  <c r="F97" i="29"/>
  <c r="J76" i="19"/>
  <c r="I85" i="39"/>
  <c r="F53" i="48"/>
  <c r="K32" i="71"/>
  <c r="E4" i="29"/>
  <c r="F26" i="83"/>
  <c r="M52" i="65"/>
  <c r="L10" i="46"/>
  <c r="E7" i="80"/>
  <c r="J15" i="69"/>
  <c r="E73" i="45"/>
  <c r="O71" i="76"/>
  <c r="I9" i="56"/>
  <c r="L47" i="44"/>
  <c r="K85" i="76"/>
  <c r="O47" i="53"/>
  <c r="J89" i="94"/>
  <c r="F30" i="91"/>
  <c r="F7" i="82"/>
  <c r="N101" i="93"/>
  <c r="N106" i="55"/>
  <c r="J9" i="72"/>
  <c r="D58" i="34"/>
  <c r="F59" i="67"/>
  <c r="J103" i="65"/>
  <c r="K37" i="87"/>
  <c r="H22" i="59"/>
  <c r="K11" i="56"/>
  <c r="F52" i="59"/>
  <c r="D94" i="35"/>
  <c r="K107" i="38"/>
  <c r="G74" i="80"/>
  <c r="F4" i="34"/>
  <c r="K103" i="57"/>
  <c r="N88" i="69"/>
  <c r="M106" i="68"/>
  <c r="N61" i="86"/>
  <c r="N76" i="57"/>
  <c r="K82" i="74"/>
  <c r="K94" i="61"/>
  <c r="L52" i="67"/>
  <c r="H61" i="56"/>
  <c r="O65" i="81"/>
  <c r="H40" i="50"/>
  <c r="O13" i="48"/>
  <c r="K26" i="76"/>
  <c r="I20" i="30"/>
  <c r="F47" i="61"/>
  <c r="F103" i="34"/>
  <c r="I85" i="63"/>
  <c r="I26" i="38"/>
  <c r="F56" i="57"/>
  <c r="I14" i="53"/>
  <c r="N46" i="35"/>
  <c r="M35" i="93"/>
  <c r="N6" i="36"/>
  <c r="F43" i="26"/>
  <c r="I27" i="89"/>
  <c r="H80" i="36"/>
  <c r="K17" i="72"/>
  <c r="N44" i="19"/>
  <c r="CK66" i="3" s="1"/>
  <c r="L107" i="65"/>
  <c r="I61" i="92"/>
  <c r="H83" i="64"/>
  <c r="M49" i="90"/>
  <c r="I34" i="25"/>
  <c r="M16" i="78"/>
  <c r="N86" i="29"/>
  <c r="L48" i="57"/>
  <c r="H80" i="60"/>
  <c r="K89" i="47"/>
  <c r="M94" i="77"/>
  <c r="O31" i="75"/>
  <c r="J15" i="33"/>
  <c r="K46" i="74"/>
  <c r="H19" i="81"/>
  <c r="E21" i="73"/>
  <c r="H23" i="48"/>
  <c r="H53" i="52"/>
  <c r="I64" i="35"/>
  <c r="H26" i="66"/>
  <c r="O67" i="40"/>
  <c r="E77" i="81"/>
  <c r="G88" i="86"/>
  <c r="K52" i="73"/>
  <c r="H85" i="87"/>
  <c r="O19" i="40"/>
  <c r="I106" i="33"/>
  <c r="N19" i="93"/>
  <c r="J28" i="90"/>
  <c r="F34" i="78"/>
  <c r="O98" i="58"/>
  <c r="I11" i="59"/>
  <c r="E10" i="94"/>
  <c r="D30" i="26"/>
  <c r="K49" i="29"/>
  <c r="J22" i="80"/>
  <c r="O34" i="56"/>
  <c r="I40" i="80"/>
  <c r="H12" i="85"/>
  <c r="L41" i="93"/>
  <c r="D100" i="50"/>
  <c r="H12" i="61"/>
  <c r="D85" i="62"/>
  <c r="E77" i="69"/>
  <c r="M58" i="41"/>
  <c r="E43" i="61"/>
  <c r="J77" i="32"/>
  <c r="F100" i="67"/>
  <c r="I85" i="54"/>
  <c r="H95" i="92"/>
  <c r="I25" i="36"/>
  <c r="E91" i="93"/>
  <c r="G46" i="49"/>
  <c r="E70" i="57"/>
  <c r="G26" i="79"/>
  <c r="G19" i="44"/>
  <c r="O52" i="33"/>
  <c r="H40" i="84"/>
  <c r="N67" i="72"/>
  <c r="O77" i="81"/>
  <c r="N43" i="80"/>
  <c r="M12" i="19"/>
  <c r="N57" i="70"/>
  <c r="O49" i="83"/>
  <c r="H7" i="43"/>
  <c r="I92" i="19"/>
  <c r="E47" i="92"/>
  <c r="I45" i="45"/>
  <c r="J46" i="49"/>
  <c r="L42" i="74"/>
  <c r="I40" i="55"/>
  <c r="D4" i="82"/>
  <c r="D54" i="96" s="1"/>
  <c r="N67" i="56"/>
  <c r="E104" i="83"/>
  <c r="H54" i="91"/>
  <c r="I48" i="54"/>
  <c r="I94" i="75"/>
  <c r="M32" i="68"/>
  <c r="E7" i="82"/>
  <c r="N55" i="77"/>
  <c r="G23" i="32"/>
  <c r="D97" i="71"/>
  <c r="I39" i="75"/>
  <c r="G29" i="60"/>
  <c r="I37" i="80"/>
  <c r="M91" i="40"/>
  <c r="L38" i="68"/>
  <c r="D80" i="57"/>
  <c r="O55" i="70"/>
  <c r="L62" i="25"/>
  <c r="D86" i="87"/>
  <c r="G25"/>
  <c r="J79" i="81"/>
  <c r="H52" i="51"/>
  <c r="L91" i="65"/>
  <c r="H38" i="29"/>
  <c r="J10" i="61"/>
  <c r="I17" i="53"/>
  <c r="H28" i="84"/>
  <c r="O79" i="43"/>
  <c r="I46" i="52"/>
  <c r="E54" i="70"/>
  <c r="D77" i="94"/>
  <c r="H23" i="76"/>
  <c r="D24" i="46"/>
  <c r="H48" i="82"/>
  <c r="O23" i="90"/>
  <c r="N48" i="84"/>
  <c r="E16" i="41"/>
  <c r="N85" i="47"/>
  <c r="E17" i="74"/>
  <c r="G41" i="64"/>
  <c r="G65" i="30"/>
  <c r="G95" i="70"/>
  <c r="J30" i="33"/>
  <c r="E16" i="49"/>
  <c r="F101" i="52"/>
  <c r="I32" i="70"/>
  <c r="J37" i="91"/>
  <c r="J59" i="32"/>
  <c r="F80" i="52"/>
  <c r="J100" i="81"/>
  <c r="G98" i="86"/>
  <c r="G20" i="93"/>
  <c r="G7" i="55"/>
  <c r="F44" i="47"/>
  <c r="H26" i="33"/>
  <c r="L100" i="45"/>
  <c r="L43" i="86"/>
  <c r="N76" i="45"/>
  <c r="L29" i="67"/>
  <c r="K6" i="25"/>
  <c r="E53" i="77"/>
  <c r="D12" i="30"/>
  <c r="E70" i="91"/>
  <c r="K50" i="58"/>
  <c r="J52" i="69"/>
  <c r="F10" i="43"/>
  <c r="O98" i="33"/>
  <c r="I94" i="86"/>
  <c r="O89" i="73"/>
  <c r="I106" i="94"/>
  <c r="I43" i="65"/>
  <c r="K25" i="36"/>
  <c r="G24" i="25"/>
  <c r="F71" i="33"/>
  <c r="M92" i="19"/>
  <c r="F23" i="83"/>
  <c r="E62" i="89"/>
  <c r="E38" i="27"/>
  <c r="L39" i="25"/>
  <c r="N85" i="40"/>
  <c r="F32" i="56"/>
  <c r="J35" i="30"/>
  <c r="K101" i="45"/>
  <c r="K7" i="59"/>
  <c r="F106" i="79"/>
  <c r="D103" i="30"/>
  <c r="I103" i="75"/>
  <c r="J26" i="71"/>
  <c r="G62" i="54"/>
  <c r="F95" i="43"/>
  <c r="H59" i="33"/>
  <c r="L47" i="59"/>
  <c r="M82" i="19"/>
  <c r="G32" i="79"/>
  <c r="J83" i="27"/>
  <c r="I43"/>
  <c r="N56" i="32"/>
  <c r="H92" i="53"/>
  <c r="H70" i="93"/>
  <c r="G85" i="60"/>
  <c r="E37" i="46"/>
  <c r="O97" i="48"/>
  <c r="J89" i="41"/>
  <c r="N101" i="47"/>
  <c r="I28" i="84"/>
  <c r="I104" i="77"/>
  <c r="K107" i="39"/>
  <c r="M77" i="27"/>
  <c r="N12" i="89"/>
  <c r="J68" i="66"/>
  <c r="J41" i="57"/>
  <c r="F59" i="25"/>
  <c r="D80" i="62"/>
  <c r="I82" i="72"/>
  <c r="J4" i="66"/>
  <c r="H20" i="67"/>
  <c r="H62" i="32"/>
  <c r="G59" i="60"/>
  <c r="CI76" i="3"/>
  <c r="O21" i="64"/>
  <c r="F57" i="86"/>
  <c r="M18" i="65"/>
  <c r="I11" i="66"/>
  <c r="I41" i="25"/>
  <c r="L62" i="84"/>
  <c r="H64" i="68"/>
  <c r="D10" i="72"/>
  <c r="I82" i="61"/>
  <c r="L91" i="82"/>
  <c r="F76" i="85"/>
  <c r="O34" i="87"/>
  <c r="I47" i="91"/>
  <c r="G73" i="51"/>
  <c r="J39" i="77"/>
  <c r="D64" i="68"/>
  <c r="D77" i="43"/>
  <c r="F35" i="90"/>
  <c r="H68" i="91"/>
  <c r="H10" i="72"/>
  <c r="I58" i="51"/>
  <c r="L12" i="83"/>
  <c r="O86" i="47"/>
  <c r="G36" i="60"/>
  <c r="K16" i="65"/>
  <c r="J44" i="61"/>
  <c r="O42" i="89"/>
  <c r="O6" i="78"/>
  <c r="E41" i="84"/>
  <c r="G40" i="68"/>
  <c r="G85" i="38"/>
  <c r="D65" i="58"/>
  <c r="D77" i="61"/>
  <c r="K11" i="49"/>
  <c r="N101" i="19"/>
  <c r="G19" i="41"/>
  <c r="G77" i="79"/>
  <c r="N39" i="67"/>
  <c r="G101" i="45"/>
  <c r="O56" i="73"/>
  <c r="H14" i="94"/>
  <c r="J7" i="81"/>
  <c r="O59" i="38"/>
  <c r="L28" i="44"/>
  <c r="I89" i="54"/>
  <c r="D47" i="50"/>
  <c r="F9" i="44"/>
  <c r="N39" i="45"/>
  <c r="M51" i="71"/>
  <c r="O83" i="57"/>
  <c r="I36" i="51"/>
  <c r="J85" i="79"/>
  <c r="I23" i="44"/>
  <c r="M35" i="39"/>
  <c r="K62" i="61"/>
  <c r="G104" i="65"/>
  <c r="O27" i="60"/>
  <c r="J56" i="67"/>
  <c r="J8" i="66"/>
  <c r="J46" i="84"/>
  <c r="E58" i="42"/>
  <c r="K97" i="61"/>
  <c r="H97" i="83"/>
  <c r="L45" i="38"/>
  <c r="I97" i="19"/>
  <c r="M25" i="54"/>
  <c r="G45" i="40"/>
  <c r="F70" i="87"/>
  <c r="K35" i="58"/>
  <c r="E14" i="55"/>
  <c r="M33" i="71"/>
  <c r="N95" i="80"/>
  <c r="D82" i="38"/>
  <c r="F22" i="71"/>
  <c r="O26" i="57"/>
  <c r="I52" i="38"/>
  <c r="E59" i="71"/>
  <c r="E88" i="61"/>
  <c r="E11" i="59"/>
  <c r="K33" i="81"/>
  <c r="K31" i="40"/>
  <c r="N14" i="51"/>
  <c r="O92" i="63"/>
  <c r="M82" i="78"/>
  <c r="L15" i="77"/>
  <c r="K79" i="47"/>
  <c r="L38" i="22"/>
  <c r="G57" i="86"/>
  <c r="G19" i="45"/>
  <c r="N23" i="57"/>
  <c r="N4" i="32"/>
  <c r="D7" i="35"/>
  <c r="I38" i="80"/>
  <c r="G61" i="30"/>
  <c r="N83" i="67"/>
  <c r="O24" i="69"/>
  <c r="L13" i="80"/>
  <c r="D61" i="92"/>
  <c r="H68" i="65"/>
  <c r="J79" i="26"/>
  <c r="F35" i="46"/>
  <c r="K70" i="30"/>
  <c r="K68" i="62"/>
  <c r="O20" i="90"/>
  <c r="K104" i="49"/>
  <c r="F12" i="46"/>
  <c r="O73" i="93"/>
  <c r="N4" i="39"/>
  <c r="E13" i="26"/>
  <c r="L29" i="49"/>
  <c r="N104" i="27"/>
  <c r="F95" i="91"/>
  <c r="M30" i="46"/>
  <c r="F18" i="73"/>
  <c r="D100" i="40"/>
  <c r="N55" i="84"/>
  <c r="M28" i="56"/>
  <c r="N48" i="27"/>
  <c r="M55" i="32"/>
  <c r="D89" i="53"/>
  <c r="L26" i="69"/>
  <c r="J107" i="29"/>
  <c r="H94" i="75"/>
  <c r="G44" i="47"/>
  <c r="G22" i="89"/>
  <c r="M56" i="25"/>
  <c r="F5" i="71"/>
  <c r="L38" i="70"/>
  <c r="H44" i="69"/>
  <c r="E50" i="65"/>
  <c r="N13" i="82"/>
  <c r="J94" i="26"/>
  <c r="N85" i="44"/>
  <c r="H51" i="25"/>
  <c r="D5" i="81"/>
  <c r="N92" i="67"/>
  <c r="G51" i="50"/>
  <c r="F62" i="19"/>
  <c r="J92" i="86"/>
  <c r="H70" i="46"/>
  <c r="M52"/>
  <c r="H88" i="94"/>
  <c r="H94" i="90"/>
  <c r="D94" i="69"/>
  <c r="F107" i="25"/>
  <c r="E74" i="85"/>
  <c r="N4" i="29"/>
  <c r="N85" i="61"/>
  <c r="D36" i="82"/>
  <c r="E55" i="87"/>
  <c r="E51" i="76"/>
  <c r="J70"/>
  <c r="H7" i="65"/>
  <c r="M92" i="27"/>
  <c r="M24" i="32"/>
  <c r="H19" i="74"/>
  <c r="E82" i="64"/>
  <c r="O103" i="19"/>
  <c r="G57" i="85"/>
  <c r="E39" i="54"/>
  <c r="G39" i="64"/>
  <c r="F43" i="69"/>
  <c r="M44" i="27"/>
  <c r="J41" i="91"/>
  <c r="N73" i="32"/>
  <c r="E25" i="48"/>
  <c r="N30" i="56"/>
  <c r="K4" i="29"/>
  <c r="G14" i="66"/>
  <c r="G16" i="83"/>
  <c r="G103" i="80"/>
  <c r="D37" i="77"/>
  <c r="L28" i="25"/>
  <c r="L38" i="49"/>
  <c r="I19" i="92"/>
  <c r="F71" i="48"/>
  <c r="L18" i="67"/>
  <c r="G80" i="36"/>
  <c r="G33" i="83"/>
  <c r="N67" i="78"/>
  <c r="D30" i="69"/>
  <c r="I39" i="70"/>
  <c r="K94" i="74"/>
  <c r="G101" i="19"/>
  <c r="E36" i="64"/>
  <c r="G62" i="50"/>
  <c r="D104" i="70"/>
  <c r="M98" i="44"/>
  <c r="L86" i="65"/>
  <c r="G46" i="67"/>
  <c r="I38" i="49"/>
  <c r="I71" i="41"/>
  <c r="D31" i="77"/>
  <c r="G49" i="54"/>
  <c r="D64" i="77"/>
  <c r="J14" i="44"/>
  <c r="D56" i="60"/>
  <c r="O54" i="91"/>
  <c r="J101" i="90"/>
  <c r="E61" i="84"/>
  <c r="D5" i="35"/>
  <c r="H57" i="93"/>
  <c r="F44" i="29"/>
  <c r="I58" i="38"/>
  <c r="K27" i="26"/>
  <c r="F88" i="70"/>
  <c r="F23" i="84"/>
  <c r="H92" i="75"/>
  <c r="D85" i="68"/>
  <c r="N80" i="63"/>
  <c r="I65" i="34"/>
  <c r="D47" i="60"/>
  <c r="I40" i="33"/>
  <c r="D83" i="34"/>
  <c r="D10" i="25"/>
  <c r="G4" i="40"/>
  <c r="D98" i="38"/>
  <c r="N15" i="92"/>
  <c r="E74" i="58"/>
  <c r="K97" i="53"/>
  <c r="M61" i="68"/>
  <c r="G22" i="51"/>
  <c r="N10" i="47"/>
  <c r="L94" i="26"/>
  <c r="J65" i="54"/>
  <c r="J47" i="36"/>
  <c r="E24" i="52"/>
  <c r="I17" i="26"/>
  <c r="O65" i="57"/>
  <c r="F40" i="55"/>
  <c r="M46" i="43"/>
  <c r="I104" i="83"/>
  <c r="I77" i="81"/>
  <c r="G21" i="63"/>
  <c r="I46" i="86"/>
  <c r="F51" i="48"/>
  <c r="M88" i="65"/>
  <c r="D35" i="64"/>
  <c r="D16"/>
  <c r="G16" i="94"/>
  <c r="J92" i="92"/>
  <c r="U23" i="96"/>
  <c r="I62" i="89"/>
  <c r="I107" i="39"/>
  <c r="K34" i="22"/>
  <c r="G21" i="55"/>
  <c r="M106" i="30"/>
  <c r="H64" i="32"/>
  <c r="F56" i="38"/>
  <c r="E62" i="45"/>
  <c r="J6"/>
  <c r="I80" i="86"/>
  <c r="J91" i="74"/>
  <c r="D73" i="29"/>
  <c r="L29" i="73"/>
  <c r="K57" i="29"/>
  <c r="F21" i="70"/>
  <c r="K34" i="57"/>
  <c r="L67"/>
  <c r="G46" i="79"/>
  <c r="G26" i="38"/>
  <c r="F49" i="64"/>
  <c r="F28" i="63"/>
  <c r="M8" i="34"/>
  <c r="O94" i="51"/>
  <c r="O19" i="65"/>
  <c r="L40" i="59"/>
  <c r="N70" i="91"/>
  <c r="I68" i="41"/>
  <c r="O20" i="44"/>
  <c r="G89" i="65"/>
  <c r="N20" i="64"/>
  <c r="K52" i="25"/>
  <c r="I27" i="30"/>
  <c r="F68" i="89"/>
  <c r="G71" i="83"/>
  <c r="D71" i="56"/>
  <c r="G91" i="81"/>
  <c r="L11" i="56"/>
  <c r="CE34" i="3"/>
  <c r="I26" i="26"/>
  <c r="K21" i="91"/>
  <c r="L8" i="81"/>
  <c r="M54" i="65"/>
  <c r="O80" i="29"/>
  <c r="G51" i="87"/>
  <c r="M58" i="60"/>
  <c r="N89" i="90"/>
  <c r="K53" i="36"/>
  <c r="M65" i="26"/>
  <c r="I98" i="43"/>
  <c r="E21" i="40"/>
  <c r="F56"/>
  <c r="H79" i="64"/>
  <c r="N17" i="27"/>
  <c r="O52" i="83"/>
  <c r="E55" i="73"/>
  <c r="J39" i="90"/>
  <c r="I92" i="38"/>
  <c r="J40" i="56"/>
  <c r="G62" i="51"/>
  <c r="G55" i="54"/>
  <c r="E17" i="36"/>
  <c r="K88" i="44"/>
  <c r="G74" i="60"/>
  <c r="D86" i="41"/>
  <c r="I67" i="64"/>
  <c r="D8" i="83"/>
  <c r="I49" i="78"/>
  <c r="I28" i="64"/>
  <c r="N65" i="74"/>
  <c r="F23" i="58"/>
  <c r="I50" i="69"/>
  <c r="L32" i="86"/>
  <c r="K65" i="82"/>
  <c r="F16" i="64"/>
  <c r="K107" i="78"/>
  <c r="I37" i="67"/>
  <c r="J25" i="81"/>
  <c r="M28" i="87"/>
  <c r="G22" i="40"/>
  <c r="H15" i="33"/>
  <c r="L12" i="40"/>
  <c r="R55" i="96"/>
  <c r="M104" i="91"/>
  <c r="E10" i="69"/>
  <c r="G24"/>
  <c r="H89" i="25"/>
  <c r="L83" i="19"/>
  <c r="G5" i="65"/>
  <c r="J28" i="34"/>
  <c r="F55" i="40"/>
  <c r="M4" i="94"/>
  <c r="D37" i="59"/>
  <c r="I62" i="79"/>
  <c r="H103" i="73"/>
  <c r="K64" i="39"/>
  <c r="H36" i="38"/>
  <c r="O77" i="36"/>
  <c r="E106" i="78"/>
  <c r="I16" i="41"/>
  <c r="J85" i="94"/>
  <c r="G43" i="85"/>
  <c r="I28" i="35"/>
  <c r="N62" i="45"/>
  <c r="G70" i="79"/>
  <c r="G25" i="77"/>
  <c r="J76" i="87"/>
  <c r="G12" i="96"/>
  <c r="E15" i="60"/>
  <c r="M52" i="68"/>
  <c r="E20" i="58"/>
  <c r="G47" i="81"/>
  <c r="D35" i="83"/>
  <c r="H48" i="35"/>
  <c r="N19" i="68"/>
  <c r="J94" i="80"/>
  <c r="D44" i="91"/>
  <c r="I36" i="25"/>
  <c r="I86" i="74"/>
  <c r="M51" i="45"/>
  <c r="F4" i="49"/>
  <c r="F14" i="83"/>
  <c r="G51" i="66"/>
  <c r="O25" i="59"/>
  <c r="I38" i="50"/>
  <c r="H27" i="74"/>
  <c r="O35" i="70"/>
  <c r="E5" i="92"/>
  <c r="N27" i="73"/>
  <c r="G95" i="35"/>
  <c r="E67" i="65"/>
  <c r="H55" i="90"/>
  <c r="N101" i="87"/>
  <c r="H57" i="39"/>
  <c r="L15" i="59"/>
  <c r="E22" i="80"/>
  <c r="K17" i="73"/>
  <c r="O70" i="59"/>
  <c r="O97" i="33"/>
  <c r="K53" i="25"/>
  <c r="N67"/>
  <c r="E24" i="58"/>
  <c r="G103" i="26"/>
  <c r="I22" i="87"/>
  <c r="G101" i="57"/>
  <c r="G54" i="58"/>
  <c r="O40" i="91"/>
  <c r="D77" i="85"/>
  <c r="F33" i="54"/>
  <c r="K89" i="48"/>
  <c r="F7" i="69"/>
  <c r="F11" i="36"/>
  <c r="N89" i="77"/>
  <c r="G41" i="56"/>
  <c r="O22" i="71"/>
  <c r="O44" i="75"/>
  <c r="G61" i="38"/>
  <c r="M62" i="43"/>
  <c r="H85" i="82"/>
  <c r="G64" i="85"/>
  <c r="E98" i="41"/>
  <c r="O40" i="47"/>
  <c r="G35" i="69"/>
  <c r="D95" i="35"/>
  <c r="N41" i="57"/>
  <c r="E61" i="85"/>
  <c r="O57" i="73"/>
  <c r="E25" i="77"/>
  <c r="J62" i="19"/>
  <c r="M80" i="62"/>
  <c r="J32" i="78"/>
  <c r="F42" i="85"/>
  <c r="O104" i="91"/>
  <c r="L70" i="62"/>
  <c r="D13" i="52"/>
  <c r="O49" i="47"/>
  <c r="N95" i="86"/>
  <c r="D15" i="61"/>
  <c r="D53" i="44"/>
  <c r="O29" i="69"/>
  <c r="CL80" i="3"/>
  <c r="L30" i="67"/>
  <c r="K71" i="69"/>
  <c r="K34" i="53"/>
  <c r="D10" i="42"/>
  <c r="F44" i="48"/>
  <c r="G39" i="63"/>
  <c r="N45" i="47"/>
  <c r="G56" i="46"/>
  <c r="O71" i="81"/>
  <c r="J18" i="65"/>
  <c r="M33" i="32"/>
  <c r="H64" i="81"/>
  <c r="F47" i="59"/>
  <c r="I95" i="84"/>
  <c r="E36" i="38"/>
  <c r="D49" i="29"/>
  <c r="G14" i="52"/>
  <c r="G88" i="64"/>
  <c r="K88" i="65"/>
  <c r="D107" i="39"/>
  <c r="M61" i="40"/>
  <c r="E94" i="38"/>
  <c r="O42" i="84"/>
  <c r="O107" i="36"/>
  <c r="N33" i="82"/>
  <c r="H98" i="91"/>
  <c r="O16" i="81"/>
  <c r="J17" i="72"/>
  <c r="F70" i="19"/>
  <c r="E94" i="33"/>
  <c r="N39" i="47"/>
  <c r="M55" i="63"/>
  <c r="I82" i="86"/>
  <c r="K73" i="38"/>
  <c r="G25" i="68"/>
  <c r="G16" i="27"/>
  <c r="I67" i="61"/>
  <c r="H7" i="77"/>
  <c r="G65" i="91"/>
  <c r="O45" i="27"/>
  <c r="D76" i="19"/>
  <c r="C9" i="97" s="1"/>
  <c r="E62" i="33"/>
  <c r="I50" i="50"/>
  <c r="M20" i="70"/>
  <c r="M76" i="64"/>
  <c r="H25" i="81"/>
  <c r="K106" i="87"/>
  <c r="L106" i="64"/>
  <c r="N37" i="69"/>
  <c r="H32" i="90"/>
  <c r="K58" i="61"/>
  <c r="D6" i="44"/>
  <c r="K19" i="19"/>
  <c r="O45" i="92"/>
  <c r="J77" i="33"/>
  <c r="D94" i="85"/>
  <c r="K16" i="61"/>
  <c r="O79" i="36"/>
  <c r="D42" i="92"/>
  <c r="E92" i="41"/>
  <c r="N79" i="25"/>
  <c r="K65" i="45"/>
  <c r="G67" i="83"/>
  <c r="H46" i="75"/>
  <c r="K58" i="60"/>
  <c r="I74" i="85"/>
  <c r="K76" i="69"/>
  <c r="G62" i="81"/>
  <c r="H43" i="52"/>
  <c r="CJ70" i="3"/>
  <c r="J71" i="84"/>
  <c r="L22" i="46"/>
  <c r="M30" i="36"/>
  <c r="F70" i="57"/>
  <c r="M54" i="59"/>
  <c r="E6" i="40"/>
  <c r="N50" i="49"/>
  <c r="M15" i="58"/>
  <c r="J67" i="66"/>
  <c r="H85" i="50"/>
  <c r="H20" i="93"/>
  <c r="I92" i="52"/>
  <c r="N91" i="84"/>
  <c r="E4" i="83"/>
  <c r="N77" i="27"/>
  <c r="I43" i="75"/>
  <c r="M74" i="92"/>
  <c r="D10" i="89"/>
  <c r="F13" i="49"/>
  <c r="H15" i="75"/>
  <c r="E59" i="86"/>
  <c r="L34" i="94"/>
  <c r="K23" i="64"/>
  <c r="O9" i="19"/>
  <c r="M40" i="30"/>
  <c r="O27" i="94"/>
  <c r="N86" i="74"/>
  <c r="F94" i="70"/>
  <c r="G85" i="44"/>
  <c r="J106" i="94"/>
  <c r="H18" i="49"/>
  <c r="J23" i="70"/>
  <c r="K41" i="26"/>
  <c r="I53" i="41"/>
  <c r="J49" i="46"/>
  <c r="H17" i="67"/>
  <c r="E79" i="39"/>
  <c r="D39" i="89"/>
  <c r="L107" i="70"/>
  <c r="L4" i="80"/>
  <c r="D34" i="32"/>
  <c r="O26" i="77"/>
  <c r="M25" i="80"/>
  <c r="J59" i="56"/>
  <c r="G52" i="40"/>
  <c r="L57" i="41"/>
  <c r="D103" i="32"/>
  <c r="G12" i="71"/>
  <c r="L34" i="91"/>
  <c r="M28" i="43"/>
  <c r="O76" i="62"/>
  <c r="F31" i="74"/>
  <c r="E77" i="57"/>
  <c r="G19" i="47"/>
  <c r="H19" i="35"/>
  <c r="G11" i="71"/>
  <c r="E22" i="91"/>
  <c r="I86" i="85"/>
  <c r="N51" i="54"/>
  <c r="N24" i="38"/>
  <c r="N34" i="40"/>
  <c r="F9" i="29"/>
  <c r="F98" i="36"/>
  <c r="K70" i="72"/>
  <c r="E7" i="77"/>
  <c r="F29" i="75"/>
  <c r="L58" i="41"/>
  <c r="L94" i="58"/>
  <c r="D103" i="89"/>
  <c r="D15" i="76"/>
  <c r="E32" i="89"/>
  <c r="F8" i="51"/>
  <c r="F34" i="76"/>
  <c r="J10" i="63"/>
  <c r="D95" i="40"/>
  <c r="N91" i="26"/>
  <c r="E106" i="25"/>
  <c r="H44" i="61"/>
  <c r="E33" i="19"/>
  <c r="K79" i="33"/>
  <c r="G19" i="50"/>
  <c r="K95" i="56"/>
  <c r="G22" i="66"/>
  <c r="J56" i="55"/>
  <c r="J55" i="33"/>
  <c r="I35" i="61"/>
  <c r="E73" i="73"/>
  <c r="K39" i="44"/>
  <c r="J92" i="84"/>
  <c r="J53" i="81"/>
  <c r="F36" i="93"/>
  <c r="I55" i="46"/>
  <c r="E15" i="91"/>
  <c r="M106" i="54"/>
  <c r="G26" i="60"/>
  <c r="K37" i="34"/>
  <c r="K26" i="78"/>
  <c r="J83" i="41"/>
  <c r="D91" i="80"/>
  <c r="N52" i="65"/>
  <c r="M15" i="72"/>
  <c r="O40" i="71"/>
  <c r="N59" i="63"/>
  <c r="H7" i="58"/>
  <c r="I16" i="36"/>
  <c r="I23" i="78"/>
  <c r="H82" i="19"/>
  <c r="I26" i="84"/>
  <c r="F65" i="89"/>
  <c r="O25" i="36"/>
  <c r="F15" i="79"/>
  <c r="D62" i="38"/>
  <c r="H33" i="59"/>
  <c r="O39" i="74"/>
  <c r="M48" i="77"/>
  <c r="D79" i="40"/>
  <c r="L21" i="34"/>
  <c r="N95" i="33"/>
  <c r="I77" i="64"/>
  <c r="K36" i="26"/>
  <c r="K67" i="66"/>
  <c r="L56" i="82"/>
  <c r="K4" i="40"/>
  <c r="N14" i="70"/>
  <c r="D40" i="81"/>
  <c r="G4" i="85"/>
  <c r="H5" i="26"/>
  <c r="L100" i="69"/>
  <c r="N14" i="47"/>
  <c r="H52" i="87"/>
  <c r="D104" i="86"/>
  <c r="J21" i="45"/>
  <c r="M35" i="38"/>
  <c r="E54" i="93"/>
  <c r="I28" i="76"/>
  <c r="L104" i="90"/>
  <c r="F12" i="62"/>
  <c r="N21" i="69"/>
  <c r="E13" i="43"/>
  <c r="E35" i="38"/>
  <c r="E27" i="85"/>
  <c r="I46" i="34"/>
  <c r="N55" i="89"/>
  <c r="H55" i="73"/>
  <c r="L79" i="63"/>
  <c r="N21" i="34"/>
  <c r="H65" i="90"/>
  <c r="F23" i="53"/>
  <c r="O8" i="83"/>
  <c r="O57" i="62"/>
  <c r="F51" i="73"/>
  <c r="G55" i="40"/>
  <c r="F32" i="45"/>
  <c r="H64" i="40"/>
  <c r="H29" i="45"/>
  <c r="L47" i="80"/>
  <c r="K54" i="67"/>
  <c r="G50" i="58"/>
  <c r="G88"/>
  <c r="E52" i="26"/>
  <c r="K61" i="68"/>
  <c r="N67" i="38"/>
  <c r="K6" i="81"/>
  <c r="J10" i="86"/>
  <c r="F39" i="87"/>
  <c r="L56" i="56"/>
  <c r="I56" i="30"/>
  <c r="M49" i="40"/>
  <c r="F48" i="46"/>
  <c r="M70" i="74"/>
  <c r="M29" i="87"/>
  <c r="K37" i="68"/>
  <c r="K73" i="76"/>
  <c r="I104" i="34"/>
  <c r="E41" i="56"/>
  <c r="N80" i="55"/>
  <c r="J97" i="53"/>
  <c r="H48"/>
  <c r="I62" i="54"/>
  <c r="O21" i="48"/>
  <c r="L39" i="89"/>
  <c r="E19" i="83"/>
  <c r="K25" i="54"/>
  <c r="O61" i="45"/>
  <c r="G28" i="44"/>
  <c r="F56" i="55"/>
  <c r="K43" i="38"/>
  <c r="O85" i="58"/>
  <c r="I10" i="59"/>
  <c r="H31" i="65"/>
  <c r="E23" i="85"/>
  <c r="I71" i="73"/>
  <c r="CC55" i="3"/>
  <c r="O77" i="34"/>
  <c r="N98" i="41"/>
  <c r="E39" i="55"/>
  <c r="L16" i="44"/>
  <c r="H18" i="92"/>
  <c r="O49" i="93"/>
  <c r="D19" i="29"/>
  <c r="I76" i="51"/>
  <c r="H11" i="61"/>
  <c r="M103" i="86"/>
  <c r="G59" i="81"/>
  <c r="H65" i="46"/>
  <c r="I71" i="71"/>
  <c r="I42" i="91"/>
  <c r="G43" i="70"/>
  <c r="D37" i="80"/>
  <c r="O92" i="44"/>
  <c r="G8" i="82"/>
  <c r="J74" i="92"/>
  <c r="L21" i="69"/>
  <c r="H61" i="78"/>
  <c r="N29" i="83"/>
  <c r="F31"/>
  <c r="F83" i="82"/>
  <c r="N36" i="83"/>
  <c r="N50" i="72"/>
  <c r="N48" i="57"/>
  <c r="F37" i="48"/>
  <c r="O21" i="36"/>
  <c r="D24" i="51"/>
  <c r="I24" i="41"/>
  <c r="O14" i="78"/>
  <c r="F34" i="94"/>
  <c r="I49" i="71"/>
  <c r="I25" i="78"/>
  <c r="D52" i="59"/>
  <c r="O51" i="27"/>
  <c r="L49" i="91"/>
  <c r="K42" i="55"/>
  <c r="I28" i="27"/>
  <c r="I32" i="46"/>
  <c r="G32" i="57"/>
  <c r="K98" i="65"/>
  <c r="N44" i="30"/>
  <c r="E107" i="49"/>
  <c r="F64" i="77"/>
  <c r="I20" i="46"/>
  <c r="G9" i="43"/>
  <c r="I89" i="63"/>
  <c r="O29" i="26"/>
  <c r="K38" i="46"/>
  <c r="N89" i="69"/>
  <c r="D74" i="68"/>
  <c r="M54" i="67"/>
  <c r="G33" i="45"/>
  <c r="F70" i="82"/>
  <c r="L28" i="80"/>
  <c r="O76" i="61"/>
  <c r="I7" i="51"/>
  <c r="I83" i="87"/>
  <c r="H101" i="26"/>
  <c r="E101" i="62"/>
  <c r="K51" i="48"/>
  <c r="O7" i="60"/>
  <c r="F54" i="90"/>
  <c r="F67" i="92"/>
  <c r="E70" i="67"/>
  <c r="N19" i="69"/>
  <c r="F43" i="32"/>
  <c r="O41" i="35"/>
  <c r="D17" i="44"/>
  <c r="G31"/>
  <c r="L103" i="33"/>
  <c r="F86" i="91"/>
  <c r="N40" i="53"/>
  <c r="O70" i="91"/>
  <c r="D34" i="94"/>
  <c r="D46" i="82"/>
  <c r="M29" i="65"/>
  <c r="J73" i="50"/>
  <c r="J4" i="26"/>
  <c r="K61" i="33"/>
  <c r="M50" i="36"/>
  <c r="G49" i="25"/>
  <c r="G57" i="82"/>
  <c r="F104" i="47"/>
  <c r="I79" i="26"/>
  <c r="M37" i="59"/>
  <c r="F88" i="45"/>
  <c r="K41" i="59"/>
  <c r="K65" i="91"/>
  <c r="E34" i="29"/>
  <c r="E80" i="55"/>
  <c r="K8"/>
  <c r="L38" i="81"/>
  <c r="O57" i="69"/>
  <c r="H79" i="75"/>
  <c r="E61" i="43"/>
  <c r="K95" i="73"/>
  <c r="N22" i="29"/>
  <c r="M42" i="46"/>
  <c r="G94" i="84"/>
  <c r="H27" i="57"/>
  <c r="O15" i="74"/>
  <c r="K52" i="38"/>
  <c r="J21" i="91"/>
  <c r="G17" i="56"/>
  <c r="M89" i="27"/>
  <c r="N6" i="70"/>
  <c r="I57" i="57"/>
  <c r="M46" i="84"/>
  <c r="E52" i="41"/>
  <c r="H49" i="90"/>
  <c r="F35" i="92"/>
  <c r="G54" i="50"/>
  <c r="M44" i="74"/>
  <c r="E44" i="48"/>
  <c r="I77" i="94"/>
  <c r="N32" i="56"/>
  <c r="J94" i="75"/>
  <c r="I42" i="86"/>
  <c r="O101" i="94"/>
  <c r="M53" i="67"/>
  <c r="G41" i="76"/>
  <c r="F44" i="60"/>
  <c r="O42" i="49"/>
  <c r="L39" i="53"/>
  <c r="J53" i="59"/>
  <c r="F104" i="64"/>
  <c r="F37" i="45"/>
  <c r="D36" i="19"/>
  <c r="H52" i="41"/>
  <c r="J47" i="30"/>
  <c r="L104" i="33"/>
  <c r="H71" i="59"/>
  <c r="L73" i="63"/>
  <c r="E37" i="26"/>
  <c r="D57" i="69"/>
  <c r="G24" i="46"/>
  <c r="N107" i="49"/>
  <c r="G59" i="75"/>
  <c r="M67" i="87"/>
  <c r="I50" i="78"/>
  <c r="F41" i="94"/>
  <c r="M86" i="87"/>
  <c r="E22" i="49"/>
  <c r="E13" i="83"/>
  <c r="E46" i="67"/>
  <c r="J80" i="90"/>
  <c r="J70" i="69"/>
  <c r="D35" i="47"/>
  <c r="O43" i="87"/>
  <c r="J41" i="19"/>
  <c r="CG63" i="3" s="1"/>
  <c r="G98" i="72"/>
  <c r="E28" i="90"/>
  <c r="F95" i="32"/>
  <c r="I100" i="75"/>
  <c r="D51" i="83"/>
  <c r="L7" i="45"/>
  <c r="F89" i="90"/>
  <c r="H100" i="85"/>
  <c r="I57" i="52"/>
  <c r="O35" i="82"/>
  <c r="L17" i="68"/>
  <c r="I107" i="89"/>
  <c r="E82" i="52"/>
  <c r="F89" i="45"/>
  <c r="K19" i="61"/>
  <c r="I59" i="56"/>
  <c r="N30" i="71"/>
  <c r="N54" i="91"/>
  <c r="K82" i="68"/>
  <c r="F23" i="61"/>
  <c r="E13" i="25"/>
  <c r="K67" i="73"/>
  <c r="F68" i="50"/>
  <c r="O85" i="90"/>
  <c r="G55" i="57"/>
  <c r="H48" i="66"/>
  <c r="J107" i="57"/>
  <c r="L50" i="35"/>
  <c r="K103" i="72"/>
  <c r="G51" i="92"/>
  <c r="O21" i="30"/>
  <c r="F71" i="56"/>
  <c r="I25" i="90"/>
  <c r="D20" i="91"/>
  <c r="J34" i="33"/>
  <c r="E24" i="29"/>
  <c r="I40" i="38"/>
  <c r="N61" i="82"/>
  <c r="I80" i="39"/>
  <c r="O92" i="30"/>
  <c r="H40" i="45"/>
  <c r="F74" i="54"/>
  <c r="J53" i="57"/>
  <c r="J95" i="76"/>
  <c r="I43" i="19"/>
  <c r="E71" i="81"/>
  <c r="G61" i="51"/>
  <c r="F15" i="68"/>
  <c r="D25" i="26"/>
  <c r="G26" i="74"/>
  <c r="N8" i="45"/>
  <c r="N42" i="43"/>
  <c r="CK64" i="3" s="1"/>
  <c r="O104" i="51"/>
  <c r="H6" i="69"/>
  <c r="I53" i="55"/>
  <c r="H16" i="91"/>
  <c r="D64" i="75"/>
  <c r="E25" i="70"/>
  <c r="M71" i="26"/>
  <c r="D106" i="54"/>
  <c r="J43" i="55"/>
  <c r="K4" i="64"/>
  <c r="G94" i="74"/>
  <c r="L71" i="48"/>
  <c r="I33" i="59"/>
  <c r="E101" i="77"/>
  <c r="G56" i="86"/>
  <c r="G80" i="87"/>
  <c r="H106" i="32"/>
  <c r="I4" i="72"/>
  <c r="O83" i="66"/>
  <c r="M30" i="90"/>
  <c r="M104" i="40"/>
  <c r="L55" i="80"/>
  <c r="K55" i="51"/>
  <c r="M107" i="77"/>
  <c r="G42" i="93"/>
  <c r="M100" i="72"/>
  <c r="O55" i="60"/>
  <c r="F74" i="63"/>
  <c r="K107" i="40"/>
  <c r="F94" i="93"/>
  <c r="I15" i="56"/>
  <c r="O24" i="67"/>
  <c r="H9" i="45"/>
  <c r="N10" i="39"/>
  <c r="M80" i="66"/>
  <c r="N64" i="84"/>
  <c r="H42" i="71"/>
  <c r="G31" i="27"/>
  <c r="I82" i="71"/>
  <c r="G41" i="60"/>
  <c r="D9" i="52"/>
  <c r="O20" i="30"/>
  <c r="D43" i="64"/>
  <c r="O36" i="96" s="1"/>
  <c r="I25" i="27"/>
  <c r="M97"/>
  <c r="F37" i="47"/>
  <c r="H47" i="90"/>
  <c r="J5" i="29"/>
  <c r="O46" i="65"/>
  <c r="K85" i="57"/>
  <c r="O54" i="65"/>
  <c r="K50" i="29"/>
  <c r="N37" i="55"/>
  <c r="M64" i="61"/>
  <c r="I107" i="65"/>
  <c r="H20" i="38"/>
  <c r="D33"/>
  <c r="I11" i="26"/>
  <c r="G97" i="51"/>
  <c r="I74" i="93"/>
  <c r="I106" i="44"/>
  <c r="O103" i="33"/>
  <c r="O24" i="86"/>
  <c r="M45" i="45"/>
  <c r="O41" i="61"/>
  <c r="H85" i="54"/>
  <c r="F10" i="92"/>
  <c r="K71"/>
  <c r="N30" i="39"/>
  <c r="K103" i="46"/>
  <c r="M52" i="33"/>
  <c r="I11" i="56"/>
  <c r="M9" i="43"/>
  <c r="CJ31" i="3" s="1"/>
  <c r="N95" i="34"/>
  <c r="I70" i="67"/>
  <c r="E89" i="90"/>
  <c r="J10" i="33"/>
  <c r="L51" i="65"/>
  <c r="F74" i="48"/>
  <c r="L59" i="25"/>
  <c r="E48" i="66"/>
  <c r="D68" i="69"/>
  <c r="M79" i="29"/>
  <c r="D14" i="22"/>
  <c r="I54" i="80"/>
  <c r="I41" i="40"/>
  <c r="E5" i="36"/>
  <c r="M95" i="65"/>
  <c r="D10" i="52"/>
  <c r="G88" i="26"/>
  <c r="L22" i="47"/>
  <c r="F37" i="72"/>
  <c r="O106" i="65"/>
  <c r="O16" i="60"/>
  <c r="N92" i="66"/>
  <c r="F71" i="74"/>
  <c r="L34" i="78"/>
  <c r="M12" i="89"/>
  <c r="L52"/>
  <c r="F64" i="43"/>
  <c r="H45" i="76"/>
  <c r="N76" i="68"/>
  <c r="L33" i="36"/>
  <c r="E42" i="67"/>
  <c r="M42" i="34"/>
  <c r="M104" i="60"/>
  <c r="K37" i="66"/>
  <c r="N19" i="84"/>
  <c r="E56" i="36"/>
  <c r="E73" i="69"/>
  <c r="F47" i="58"/>
  <c r="K24" i="89"/>
  <c r="E101" i="94"/>
  <c r="D31" i="76"/>
  <c r="J44" i="41"/>
  <c r="M34" i="91"/>
  <c r="F59" i="75"/>
  <c r="L16" i="63"/>
  <c r="G74" i="43"/>
  <c r="L65" i="51"/>
  <c r="F61" i="41"/>
  <c r="D101" i="64"/>
  <c r="L62" i="54"/>
  <c r="M62" i="27"/>
  <c r="O79" i="54"/>
  <c r="N6" i="83"/>
  <c r="N89" i="59"/>
  <c r="E29" i="87"/>
  <c r="E58" i="73"/>
  <c r="H32" i="81"/>
  <c r="H44" i="66"/>
  <c r="E49" i="81"/>
  <c r="I52" i="55"/>
  <c r="K13" i="91"/>
  <c r="K58" i="71"/>
  <c r="D11" i="83"/>
  <c r="O55" i="72"/>
  <c r="F79" i="26"/>
  <c r="J49" i="71"/>
  <c r="G61" i="59"/>
  <c r="O61" i="19"/>
  <c r="BS32" i="3" s="1"/>
  <c r="J94" i="54"/>
  <c r="I29" i="72"/>
  <c r="D11" i="75"/>
  <c r="N65" i="78"/>
  <c r="L98" i="38"/>
  <c r="M86" i="57"/>
  <c r="M36" i="26"/>
  <c r="G30" i="44"/>
  <c r="E89" i="52"/>
  <c r="E28" i="30"/>
  <c r="L89" i="32"/>
  <c r="E85" i="86"/>
  <c r="F18" i="25"/>
  <c r="I86" i="60"/>
  <c r="I88" i="79"/>
  <c r="D92" i="81"/>
  <c r="M23" i="36"/>
  <c r="I101" i="34"/>
  <c r="G25" i="50"/>
  <c r="F54" i="77"/>
  <c r="G76" i="33"/>
  <c r="O41" i="47"/>
  <c r="L19" i="96" s="1"/>
  <c r="G45" i="75"/>
  <c r="N47" i="38"/>
  <c r="I52" i="79"/>
  <c r="E48" i="27"/>
  <c r="E27" i="82"/>
  <c r="L17" i="80"/>
  <c r="G43" i="51"/>
  <c r="O54" i="77"/>
  <c r="G24" i="50"/>
  <c r="L5" i="61"/>
  <c r="J94" i="43"/>
  <c r="D38" i="75"/>
  <c r="N29" i="46"/>
  <c r="F79" i="93"/>
  <c r="E46" i="84"/>
  <c r="F62" i="55"/>
  <c r="D53" i="69"/>
  <c r="L30" i="66"/>
  <c r="L22" i="58"/>
  <c r="K83" i="82"/>
  <c r="H74"/>
  <c r="D53" i="65"/>
  <c r="F97" i="91"/>
  <c r="J5" i="79"/>
  <c r="D67" i="40"/>
  <c r="F9" i="76"/>
  <c r="I40" i="91"/>
  <c r="D104" i="64"/>
  <c r="D103" i="92"/>
  <c r="H13" i="43"/>
  <c r="J103" i="26"/>
  <c r="H55" i="49"/>
  <c r="J21" i="76"/>
  <c r="H29" i="67"/>
  <c r="H62" i="33"/>
  <c r="O100" i="64"/>
  <c r="J5" i="84"/>
  <c r="F43"/>
  <c r="M95" i="53"/>
  <c r="F82" i="57"/>
  <c r="I100" i="65"/>
  <c r="E34" i="66"/>
  <c r="D33" i="77"/>
  <c r="E51" i="81"/>
  <c r="O53" i="58"/>
  <c r="O7" i="38"/>
  <c r="F98" i="58"/>
  <c r="L77" i="47"/>
  <c r="F94" i="29"/>
  <c r="J52" i="75"/>
  <c r="L34" i="84"/>
  <c r="L23" i="38"/>
  <c r="O67" i="70"/>
  <c r="H4" i="69"/>
  <c r="H101" i="48"/>
  <c r="G62" i="78"/>
  <c r="H104" i="43"/>
  <c r="N74" i="57"/>
  <c r="D56" i="71"/>
  <c r="G91" i="35"/>
  <c r="N21" i="60"/>
  <c r="L35" i="57"/>
  <c r="M19" i="93"/>
  <c r="L95" i="32"/>
  <c r="E89" i="92"/>
  <c r="BO32" i="3"/>
  <c r="J31" i="83"/>
  <c r="N89" i="75"/>
  <c r="E18" i="80"/>
  <c r="L23" i="77"/>
  <c r="H17" i="39"/>
  <c r="I17" i="77"/>
  <c r="M24" i="25"/>
  <c r="L106" i="91"/>
  <c r="F9" i="25"/>
  <c r="I52" i="69"/>
  <c r="H47" i="91"/>
  <c r="K28" i="46"/>
  <c r="M12" i="38"/>
  <c r="O104" i="74"/>
  <c r="G56" i="89"/>
  <c r="J80" i="26"/>
  <c r="F55" i="59"/>
  <c r="F98" i="56"/>
  <c r="M16" i="33"/>
  <c r="F70" i="52"/>
  <c r="M77" i="70"/>
  <c r="D77" i="58"/>
  <c r="G55" i="29"/>
  <c r="K28" i="86"/>
  <c r="H17" i="25"/>
  <c r="G41" i="30"/>
  <c r="E97" i="34"/>
  <c r="L88" i="84"/>
  <c r="M50" i="49"/>
  <c r="E53" i="44"/>
  <c r="G58" i="43"/>
  <c r="CD80" i="3" s="1"/>
  <c r="L39" i="86"/>
  <c r="D36" i="83"/>
  <c r="K40" i="87"/>
  <c r="O100" i="43"/>
  <c r="E4" i="55"/>
  <c r="I89" i="40"/>
  <c r="N82" i="43"/>
  <c r="I74" i="50"/>
  <c r="I29" i="83"/>
  <c r="N97" i="57"/>
  <c r="O65" i="83"/>
  <c r="K42" i="91"/>
  <c r="K104" i="58"/>
  <c r="M21" i="77"/>
  <c r="E16" i="53"/>
  <c r="G47" i="91"/>
  <c r="N14" i="27"/>
  <c r="G89" i="71"/>
  <c r="M28" i="70"/>
  <c r="F39" i="36"/>
  <c r="M39" i="54"/>
  <c r="O106" i="35"/>
  <c r="J82" i="79"/>
  <c r="I65" i="72"/>
  <c r="H36" i="53"/>
  <c r="M38" i="80"/>
  <c r="E70" i="41"/>
  <c r="E107" i="54"/>
  <c r="D25" i="71"/>
  <c r="L24" i="45"/>
  <c r="I12" i="54"/>
  <c r="G107" i="85"/>
  <c r="H31" i="92"/>
  <c r="D9" i="27"/>
  <c r="O107" i="68"/>
  <c r="G46" i="53"/>
  <c r="K43" i="48"/>
  <c r="J35" i="68"/>
  <c r="G103" i="34"/>
  <c r="J82" i="26"/>
  <c r="D54" i="38"/>
  <c r="K68" i="61"/>
  <c r="F61" i="59"/>
  <c r="I24" i="29"/>
  <c r="G11" i="79"/>
  <c r="D51" i="43"/>
  <c r="M49" i="72"/>
  <c r="K85" i="26"/>
  <c r="F6" i="76"/>
  <c r="N82" i="30"/>
  <c r="L8" i="48"/>
  <c r="K59" i="61"/>
  <c r="J11" i="36"/>
  <c r="CJ33" i="3"/>
  <c r="I83" i="46"/>
  <c r="N64"/>
  <c r="H59" i="19"/>
  <c r="J12" i="53"/>
  <c r="L51" i="40"/>
  <c r="H4" i="42"/>
  <c r="N49" i="38"/>
  <c r="F106" i="61"/>
  <c r="O64" i="73"/>
  <c r="K106" i="39"/>
  <c r="L73" i="72"/>
  <c r="J16" i="48"/>
  <c r="L14" i="86"/>
  <c r="G71" i="85"/>
  <c r="K61" i="34"/>
  <c r="L39" i="33"/>
  <c r="D82" i="53"/>
  <c r="M44" i="86"/>
  <c r="L56" i="53"/>
  <c r="F6" i="40"/>
  <c r="H45" i="57"/>
  <c r="E85" i="76"/>
  <c r="F18" i="77"/>
  <c r="D33" i="71"/>
  <c r="L46" i="41"/>
  <c r="L21" i="66"/>
  <c r="L26" i="68"/>
  <c r="O20" i="25"/>
  <c r="F82" i="93"/>
  <c r="G18" i="92"/>
  <c r="F82" i="46"/>
  <c r="G86" i="38"/>
  <c r="D82" i="87"/>
  <c r="K64" i="27"/>
  <c r="J64" i="60"/>
  <c r="I89" i="55"/>
  <c r="K56" i="33"/>
  <c r="N4" i="93"/>
  <c r="O37" i="84"/>
  <c r="E38" i="43"/>
  <c r="L26" i="53"/>
  <c r="E91" i="65"/>
  <c r="J43" i="70"/>
  <c r="H26" i="65"/>
  <c r="L76" i="84"/>
  <c r="K54" i="89"/>
  <c r="D58" i="39"/>
  <c r="E33" i="25"/>
  <c r="E57" i="33"/>
  <c r="I98" i="48"/>
  <c r="E55" i="29"/>
  <c r="M32" i="77"/>
  <c r="J28" i="45"/>
  <c r="D54" i="84"/>
  <c r="N88" i="27"/>
  <c r="H85" i="85"/>
  <c r="O76" i="91"/>
  <c r="L18" i="68"/>
  <c r="E49" i="38"/>
  <c r="J23" i="36"/>
  <c r="G64" i="67"/>
  <c r="G17" i="63"/>
  <c r="K22" i="90"/>
  <c r="D95" i="44"/>
  <c r="N32" i="91"/>
  <c r="I25" i="94"/>
  <c r="J48" i="79"/>
  <c r="J55" i="67"/>
  <c r="J45" i="30"/>
  <c r="L24" i="92"/>
  <c r="L57" i="70"/>
  <c r="M47" i="57"/>
  <c r="N53" i="64"/>
  <c r="O97" i="55"/>
  <c r="E22" i="61"/>
  <c r="E41" i="73"/>
  <c r="M40" i="91"/>
  <c r="CB53" i="3"/>
  <c r="E64" i="90"/>
  <c r="E51" i="58"/>
  <c r="E12" i="77"/>
  <c r="L8" i="78"/>
  <c r="I55" i="87"/>
  <c r="H53" i="63"/>
  <c r="E8" i="94"/>
  <c r="I35" i="32"/>
  <c r="J39" i="59"/>
  <c r="G34" i="81"/>
  <c r="F10" i="65"/>
  <c r="N15" i="29"/>
  <c r="N22" i="40"/>
  <c r="F27" i="86"/>
  <c r="N55" i="91"/>
  <c r="N49" i="67"/>
  <c r="N104" i="49"/>
  <c r="N61" i="29"/>
  <c r="K14" i="27"/>
  <c r="H45" i="87"/>
  <c r="H51" i="36"/>
  <c r="N8" i="58"/>
  <c r="O92" i="67"/>
  <c r="I59" i="57"/>
  <c r="H70" i="58"/>
  <c r="F76" i="90"/>
  <c r="L76" i="75"/>
  <c r="N82" i="32"/>
  <c r="L27" i="72"/>
  <c r="O7" i="51"/>
  <c r="E18" i="44"/>
  <c r="G100" i="81"/>
  <c r="F42" i="27"/>
  <c r="F19" i="94"/>
  <c r="L8" i="38"/>
  <c r="I10" i="74"/>
  <c r="M101" i="34"/>
  <c r="L23" i="89"/>
  <c r="M103" i="57"/>
  <c r="K22" i="45"/>
  <c r="H26" i="94"/>
  <c r="M49" i="68"/>
  <c r="K48" i="57"/>
  <c r="E64" i="38"/>
  <c r="F25" i="51"/>
  <c r="D16" i="42"/>
  <c r="F97" i="33"/>
  <c r="M55" i="44"/>
  <c r="D100" i="92"/>
  <c r="N54" i="80"/>
  <c r="O55" i="56"/>
  <c r="L45" i="30"/>
  <c r="E14" i="69"/>
  <c r="L11" i="32"/>
  <c r="K31" i="65"/>
  <c r="G13" i="52"/>
  <c r="K71" i="35"/>
  <c r="J95" i="84"/>
  <c r="D57" i="41"/>
  <c r="I17" i="55"/>
  <c r="L89" i="73"/>
  <c r="G101" i="80"/>
  <c r="J5" i="83"/>
  <c r="N56" i="64"/>
  <c r="N31" i="51"/>
  <c r="N16" i="45"/>
  <c r="K106" i="38"/>
  <c r="D25" i="46"/>
  <c r="O79" i="92"/>
  <c r="D29" i="79"/>
  <c r="K34" i="49"/>
  <c r="E7" i="71"/>
  <c r="D45" i="61"/>
  <c r="D89" i="41"/>
  <c r="D13" i="19"/>
  <c r="M68" i="55"/>
  <c r="I12" i="40"/>
  <c r="D6" i="58"/>
  <c r="E30" i="93"/>
  <c r="D77" i="26"/>
  <c r="J18" i="66"/>
  <c r="I76" i="25"/>
  <c r="M7" i="62"/>
  <c r="I30" i="44"/>
  <c r="H82" i="27"/>
  <c r="D37" i="76"/>
  <c r="E12" i="60"/>
  <c r="N20" i="45"/>
  <c r="I26" i="61"/>
  <c r="N80" i="84"/>
  <c r="K97" i="63"/>
  <c r="E20" i="35"/>
  <c r="G25" i="53"/>
  <c r="D73" i="32"/>
  <c r="F51" i="83"/>
  <c r="D5" i="57"/>
  <c r="K95" i="47"/>
  <c r="H9" i="91"/>
  <c r="D57" i="81"/>
  <c r="H53" i="46"/>
  <c r="M35"/>
  <c r="G67" i="38"/>
  <c r="O36" i="71"/>
  <c r="K95" i="78"/>
  <c r="G83" i="61"/>
  <c r="E59" i="73"/>
  <c r="D82" i="39"/>
  <c r="G83" i="33"/>
  <c r="I94" i="92"/>
  <c r="N55" i="62"/>
  <c r="I37" i="93"/>
  <c r="J88" i="47"/>
  <c r="M103" i="43"/>
  <c r="J70" i="46"/>
  <c r="G70" i="60"/>
  <c r="G56" i="81"/>
  <c r="F80" i="26"/>
  <c r="H23" i="82"/>
  <c r="I82" i="19"/>
  <c r="I22" i="91"/>
  <c r="J19" i="33"/>
  <c r="M17" i="26"/>
  <c r="N55" i="63"/>
  <c r="E86" i="25"/>
  <c r="H64" i="71"/>
  <c r="N37" i="41"/>
  <c r="D86" i="54"/>
  <c r="H98" i="79"/>
  <c r="L42" i="30"/>
  <c r="K61" i="29"/>
  <c r="K76" i="60"/>
  <c r="N26" i="67"/>
  <c r="I47" i="30"/>
  <c r="G68" i="79"/>
  <c r="E15" i="59"/>
  <c r="D15" i="66"/>
  <c r="H98" i="64"/>
  <c r="M91" i="54"/>
  <c r="F13" i="29"/>
  <c r="K27" i="65"/>
  <c r="G52" i="72"/>
  <c r="F57" i="58"/>
  <c r="H44" i="57"/>
  <c r="H54" i="66"/>
  <c r="K95" i="49"/>
  <c r="I45" i="27"/>
  <c r="H30" i="56"/>
  <c r="I18" i="43"/>
  <c r="J4" i="36"/>
  <c r="K45" i="63"/>
  <c r="G61" i="85"/>
  <c r="F73" i="73"/>
  <c r="J43" i="36"/>
  <c r="E13" i="19"/>
  <c r="D65" i="34"/>
  <c r="N27" i="41"/>
  <c r="D16" i="44"/>
  <c r="O97" i="40"/>
  <c r="K89" i="72"/>
  <c r="G37" i="51"/>
  <c r="K9" i="80"/>
  <c r="K48" i="25"/>
  <c r="I85" i="47"/>
  <c r="L12" i="58"/>
  <c r="D44" i="65"/>
  <c r="G53" i="96"/>
  <c r="H21" i="72"/>
  <c r="G9" i="59"/>
  <c r="K38" i="44"/>
  <c r="K20" i="75"/>
  <c r="E34" i="84"/>
  <c r="K85" i="64"/>
  <c r="F77" i="85"/>
  <c r="M13" i="40"/>
  <c r="L39" i="47"/>
  <c r="H51" i="74"/>
  <c r="F85" i="42"/>
  <c r="L33" i="56"/>
  <c r="F85" i="79"/>
  <c r="H41" i="86"/>
  <c r="O91" i="71"/>
  <c r="K39" i="58"/>
  <c r="E54" i="46"/>
  <c r="I45" i="76"/>
  <c r="G55" i="50"/>
  <c r="D70" i="79"/>
  <c r="F40" i="90"/>
  <c r="N6" i="33"/>
  <c r="J71" i="26"/>
  <c r="G83" i="90"/>
  <c r="H48" i="85"/>
  <c r="K97" i="39"/>
  <c r="M21" i="32"/>
  <c r="J95" i="83"/>
  <c r="I13" i="93"/>
  <c r="I106" i="68"/>
  <c r="F67" i="45"/>
  <c r="L50" i="91"/>
  <c r="H83" i="93"/>
  <c r="K51" i="68"/>
  <c r="H52" i="40"/>
  <c r="F18" i="34"/>
  <c r="F101" i="93"/>
  <c r="F80" i="19"/>
  <c r="M40" i="72"/>
  <c r="J35" i="25"/>
  <c r="D107" i="34"/>
  <c r="F33" i="61"/>
  <c r="D61" i="87"/>
  <c r="L83" i="66"/>
  <c r="M30" i="91"/>
  <c r="F37" i="19"/>
  <c r="F91" i="69"/>
  <c r="CH40" i="3"/>
  <c r="N86" i="35"/>
  <c r="D45"/>
  <c r="H9" i="73"/>
  <c r="M55" i="89"/>
  <c r="I94" i="58"/>
  <c r="G95" i="69"/>
  <c r="E5" i="26"/>
  <c r="K52" i="80"/>
  <c r="D33" i="82"/>
  <c r="D20" i="48"/>
  <c r="E6" i="56"/>
  <c r="N104" i="41"/>
  <c r="K89" i="49"/>
  <c r="K76" i="80"/>
  <c r="L47" i="47"/>
  <c r="G16" i="48"/>
  <c r="H100" i="58"/>
  <c r="J56" i="61"/>
  <c r="F13" i="19"/>
  <c r="I98" i="64"/>
  <c r="K34" i="47"/>
  <c r="O80" i="54"/>
  <c r="I25"/>
  <c r="I62" i="52"/>
  <c r="H56" i="94"/>
  <c r="H55" i="63"/>
  <c r="G106" i="33"/>
  <c r="G104" i="66"/>
  <c r="D8" i="58"/>
  <c r="M31" i="72"/>
  <c r="K44" i="40"/>
  <c r="F92" i="58"/>
  <c r="J36" i="91"/>
  <c r="I38" i="39"/>
  <c r="H13" i="65"/>
  <c r="L27" i="70"/>
  <c r="M22" i="38"/>
  <c r="L44" i="71"/>
  <c r="G95" i="47"/>
  <c r="J44" i="54"/>
  <c r="J65" i="56"/>
  <c r="H38" i="76"/>
  <c r="D46" i="32"/>
  <c r="F6" i="93"/>
  <c r="L7" i="78"/>
  <c r="F55" i="70"/>
  <c r="K48" i="83"/>
  <c r="J35" i="54"/>
  <c r="D6" i="66"/>
  <c r="F42" i="36"/>
  <c r="H42" i="52"/>
  <c r="L28" i="86"/>
  <c r="G68" i="38"/>
  <c r="M13" i="29"/>
  <c r="CK41" i="3"/>
  <c r="L25" i="87"/>
  <c r="O16"/>
  <c r="K46" i="27"/>
  <c r="D30" i="92"/>
  <c r="I14" i="94"/>
  <c r="F107" i="59"/>
  <c r="M74" i="63"/>
  <c r="E88" i="81"/>
  <c r="F94" i="60"/>
  <c r="G89" i="49"/>
  <c r="D28" i="40"/>
  <c r="M34" i="32"/>
  <c r="J5" i="87"/>
  <c r="H22" i="32"/>
  <c r="N62" i="90"/>
  <c r="G98" i="70"/>
  <c r="F51" i="53"/>
  <c r="F98" i="46"/>
  <c r="I70" i="36"/>
  <c r="F32" i="43"/>
  <c r="E58" i="90"/>
  <c r="K74" i="72"/>
  <c r="E41" i="69"/>
  <c r="H42" i="60"/>
  <c r="M7" i="91"/>
  <c r="L77" i="71"/>
  <c r="O68" i="25"/>
  <c r="G65" i="62"/>
  <c r="D85" i="59"/>
  <c r="F14" i="35"/>
  <c r="E92" i="46"/>
  <c r="G49" i="57"/>
  <c r="E13" i="94"/>
  <c r="O51" i="54"/>
  <c r="J41" i="59"/>
  <c r="N13" i="63"/>
  <c r="O24" i="26"/>
  <c r="J10" i="83"/>
  <c r="D44" i="30"/>
  <c r="H19" i="48"/>
  <c r="N18"/>
  <c r="I7" i="70"/>
  <c r="F56" i="65"/>
  <c r="F15" i="51"/>
  <c r="L106" i="38"/>
  <c r="O95" i="84"/>
  <c r="J15" i="70"/>
  <c r="K33" i="58"/>
  <c r="O23" i="49"/>
  <c r="N11" i="35"/>
  <c r="J100" i="27"/>
  <c r="D107" i="48"/>
  <c r="K83" i="68"/>
  <c r="G94" i="94"/>
  <c r="J62" i="74"/>
  <c r="G55" i="30"/>
  <c r="D91" i="73"/>
  <c r="L34" i="47"/>
  <c r="F13" i="89"/>
  <c r="K23" i="67"/>
  <c r="E5" i="55"/>
  <c r="E15" i="61"/>
  <c r="H11" i="63"/>
  <c r="H50" i="70"/>
  <c r="I47" i="36"/>
  <c r="H24" i="44"/>
  <c r="N6" i="71"/>
  <c r="J106" i="90"/>
  <c r="M67" i="26"/>
  <c r="K91" i="56"/>
  <c r="I11" i="64"/>
  <c r="O28" i="53"/>
  <c r="M54" i="70"/>
  <c r="H101" i="67"/>
  <c r="I6" i="29"/>
  <c r="D7" i="73"/>
  <c r="L15" i="39"/>
  <c r="E33" i="74"/>
  <c r="O43" i="41"/>
  <c r="I85" i="32"/>
  <c r="L35" i="66"/>
  <c r="E23" i="83"/>
  <c r="H77" i="19"/>
  <c r="J80" i="57"/>
  <c r="K61" i="54"/>
  <c r="G29" i="86"/>
  <c r="CJ61" i="3"/>
  <c r="O32" i="59"/>
  <c r="CE53" i="3"/>
  <c r="G34" i="96"/>
  <c r="K14" i="19"/>
  <c r="X54" i="96"/>
  <c r="G39" i="72"/>
  <c r="L18" i="36"/>
  <c r="E10" i="32"/>
  <c r="F54" i="82"/>
  <c r="H100" i="50"/>
  <c r="I83" i="71"/>
  <c r="H11" i="33"/>
  <c r="M77" i="82"/>
  <c r="O82" i="27"/>
  <c r="D29" i="30"/>
  <c r="E68" i="34"/>
  <c r="D48" i="47"/>
  <c r="L27" i="33"/>
  <c r="H26" i="47"/>
  <c r="O28" i="89"/>
  <c r="O98" i="82"/>
  <c r="M40" i="64"/>
  <c r="E11" i="27"/>
  <c r="M68" i="57"/>
  <c r="I38" i="61"/>
  <c r="D52" i="41"/>
  <c r="G8" i="72"/>
  <c r="F11" i="70"/>
  <c r="G9" i="87"/>
  <c r="K24" i="48"/>
  <c r="F30" i="68"/>
  <c r="J53" i="90"/>
  <c r="N34" i="29"/>
  <c r="H85" i="58"/>
  <c r="L83" i="92"/>
  <c r="O6" i="19"/>
  <c r="CL28" i="3" s="1"/>
  <c r="D54" i="40"/>
  <c r="L65" i="94"/>
  <c r="I28" i="42"/>
  <c r="D34" i="40"/>
  <c r="G50" i="50"/>
  <c r="E24" i="39"/>
  <c r="L106" i="54"/>
  <c r="I54" i="76"/>
  <c r="N61" i="83"/>
  <c r="D64" i="49"/>
  <c r="O51" i="58"/>
  <c r="F4" i="80"/>
  <c r="F34" i="93"/>
  <c r="M35" i="72"/>
  <c r="O100" i="54"/>
  <c r="I71" i="53"/>
  <c r="I91" i="50"/>
  <c r="K47" i="56"/>
  <c r="H54" i="44"/>
  <c r="N73" i="55"/>
  <c r="K48" i="44"/>
  <c r="H46" i="64"/>
  <c r="J34" i="58"/>
  <c r="L88" i="72"/>
  <c r="K65" i="41"/>
  <c r="O13" i="67"/>
  <c r="J80" i="66"/>
  <c r="F12" i="41"/>
  <c r="G27" i="47"/>
  <c r="D100" i="58"/>
  <c r="F67" i="60"/>
  <c r="N29" i="62"/>
  <c r="G29" i="71"/>
  <c r="D12" i="53"/>
  <c r="G59" i="27"/>
  <c r="K5" i="72"/>
  <c r="N41" i="40"/>
  <c r="E17" i="69"/>
  <c r="D8" i="62"/>
  <c r="N43" i="19"/>
  <c r="N21" i="27"/>
  <c r="G19" i="62"/>
  <c r="C20" i="22"/>
  <c r="N101" i="69"/>
  <c r="G16" i="79"/>
  <c r="E92" i="74"/>
  <c r="O40" i="80"/>
  <c r="J28" i="61"/>
  <c r="J26" i="58"/>
  <c r="H94" i="41"/>
  <c r="F21" i="92"/>
  <c r="O46" i="49"/>
  <c r="L76" i="82"/>
  <c r="J4" i="69"/>
  <c r="O12" i="27"/>
  <c r="H34" i="94"/>
  <c r="J28" i="71"/>
  <c r="F28" i="48"/>
  <c r="F22" i="69"/>
  <c r="I47" i="92"/>
  <c r="L21" i="32"/>
  <c r="J62" i="65"/>
  <c r="I16" i="53"/>
  <c r="D55" i="66"/>
  <c r="L10" i="60"/>
  <c r="L56" i="47"/>
  <c r="I12" i="44"/>
  <c r="F28" i="94"/>
  <c r="H22" i="43"/>
  <c r="O77" i="53"/>
  <c r="D48" i="67"/>
  <c r="G52" i="43"/>
  <c r="CD74" i="3" s="1"/>
  <c r="E77" i="44"/>
  <c r="E20" i="71"/>
  <c r="K27" i="34"/>
  <c r="H14" i="36"/>
  <c r="K16" i="44"/>
  <c r="I9" i="71"/>
  <c r="K6" i="74"/>
  <c r="H34" i="67"/>
  <c r="E28" i="72"/>
  <c r="K64" i="65"/>
  <c r="L52" i="49"/>
  <c r="G26" i="81"/>
  <c r="D49" i="47"/>
  <c r="E35" i="83"/>
  <c r="L20" i="74"/>
  <c r="N27" i="87"/>
  <c r="L40" i="44"/>
  <c r="O24" i="38"/>
  <c r="H9" i="68"/>
  <c r="G18" i="40"/>
  <c r="K52" i="47"/>
  <c r="J50" i="36"/>
  <c r="J44" i="27"/>
  <c r="M85" i="38"/>
  <c r="E104" i="73"/>
  <c r="I48" i="35"/>
  <c r="M11" i="36"/>
  <c r="K103"/>
  <c r="J41" i="62"/>
  <c r="O23" i="55"/>
  <c r="K24" i="53"/>
  <c r="N19" i="40"/>
  <c r="D62" i="80"/>
  <c r="F103" i="25"/>
  <c r="K18" i="58"/>
  <c r="D59" i="70"/>
  <c r="J106" i="41"/>
  <c r="I5" i="30"/>
  <c r="O97" i="90"/>
  <c r="O47" i="56"/>
  <c r="I37" i="44"/>
  <c r="K13" i="94"/>
  <c r="N36" i="35"/>
  <c r="K42" i="64"/>
  <c r="K7" i="90"/>
  <c r="K19" i="43"/>
  <c r="J104" i="54"/>
  <c r="K86" i="90"/>
  <c r="H88" i="62"/>
  <c r="G40" i="90"/>
  <c r="F71" i="81"/>
  <c r="J35" i="44"/>
  <c r="M73" i="67"/>
  <c r="G50" i="53"/>
  <c r="G42" i="47"/>
  <c r="D58" i="59"/>
  <c r="O82" i="36"/>
  <c r="M36" i="48"/>
  <c r="M94" i="36"/>
  <c r="E15" i="43"/>
  <c r="J106" i="84"/>
  <c r="I26" i="79"/>
  <c r="N86" i="51"/>
  <c r="H7" i="75"/>
  <c r="H34" i="53"/>
  <c r="F11" i="38"/>
  <c r="O106" i="33"/>
  <c r="N85" i="68"/>
  <c r="O82" i="34"/>
  <c r="N28" i="53"/>
  <c r="K107" i="92"/>
  <c r="D7" i="60"/>
  <c r="J70" i="55"/>
  <c r="L27" i="68"/>
  <c r="F52" i="48"/>
  <c r="F76" i="71"/>
  <c r="E53" i="86"/>
  <c r="O29" i="38"/>
  <c r="N95" i="57"/>
  <c r="O20" i="60"/>
  <c r="L70" i="72"/>
  <c r="J62" i="77"/>
  <c r="H62" i="55"/>
  <c r="N37" i="30"/>
  <c r="F18" i="72"/>
  <c r="F15" i="32"/>
  <c r="I31" i="58"/>
  <c r="G24" i="70"/>
  <c r="D8" i="26"/>
  <c r="H51" i="47"/>
  <c r="N71" i="84"/>
  <c r="M52" i="54"/>
  <c r="E61" i="63"/>
  <c r="O32" i="92"/>
  <c r="G59" i="34"/>
  <c r="I80" i="19"/>
  <c r="O38" i="72"/>
  <c r="G55" i="70"/>
  <c r="D59" i="90"/>
  <c r="F26" i="64"/>
  <c r="G32" i="48"/>
  <c r="K55" i="35"/>
  <c r="K92" i="74"/>
  <c r="O106" i="36"/>
  <c r="D58" i="82"/>
  <c r="E77" i="64"/>
  <c r="G76" i="68"/>
  <c r="N80" i="94"/>
  <c r="M33" i="41"/>
  <c r="F46" i="84"/>
  <c r="N15" i="43"/>
  <c r="L95" i="57"/>
  <c r="O13" i="71"/>
  <c r="K18" i="53"/>
  <c r="M73" i="57"/>
  <c r="I10" i="48"/>
  <c r="I49" i="87"/>
  <c r="G16" i="73"/>
  <c r="H80" i="52"/>
  <c r="F94" i="91"/>
  <c r="D49" i="81"/>
  <c r="I52" i="54"/>
  <c r="E13" i="74"/>
  <c r="O4" i="80"/>
  <c r="L10" i="22"/>
  <c r="E57" i="80"/>
  <c r="H34" i="38"/>
  <c r="O70" i="87"/>
  <c r="K39" i="73"/>
  <c r="M83" i="27"/>
  <c r="G80" i="52"/>
  <c r="M48" i="72"/>
  <c r="O101" i="27"/>
  <c r="J9" i="44"/>
  <c r="M86" i="77"/>
  <c r="N52" i="33"/>
  <c r="M50" i="89"/>
  <c r="L79" i="25"/>
  <c r="N82" i="67"/>
  <c r="D45" i="34"/>
  <c r="L24" i="35"/>
  <c r="N86" i="62"/>
  <c r="N30" i="74"/>
  <c r="N52" i="36"/>
  <c r="M28" i="19"/>
  <c r="CJ50" i="3" s="1"/>
  <c r="O64" i="38"/>
  <c r="G36" i="48"/>
  <c r="N79" i="39"/>
  <c r="I49" i="74"/>
  <c r="G43" i="46"/>
  <c r="I62" i="19"/>
  <c r="J97" i="30"/>
  <c r="F79" i="39"/>
  <c r="J17" i="89"/>
  <c r="F107" i="90"/>
  <c r="O24" i="62"/>
  <c r="J82" i="29"/>
  <c r="J5" i="33"/>
  <c r="E13" i="81"/>
  <c r="N34" i="83"/>
  <c r="D34" i="62"/>
  <c r="I38" i="81"/>
  <c r="J83" i="26"/>
  <c r="G14" i="35"/>
  <c r="F5" i="29"/>
  <c r="M57" i="41"/>
  <c r="CF54" i="3"/>
  <c r="F54" i="36"/>
  <c r="E46" i="45"/>
  <c r="J43" i="58"/>
  <c r="D6" i="56"/>
  <c r="O18" i="43"/>
  <c r="I42" i="74"/>
  <c r="D37" i="50"/>
  <c r="L27" i="77"/>
  <c r="D36" i="84"/>
  <c r="O94"/>
  <c r="O17" i="54"/>
  <c r="O103" i="64"/>
  <c r="L71" i="57"/>
  <c r="D25" i="27"/>
  <c r="E57" i="74"/>
  <c r="K48" i="90"/>
  <c r="E26" i="42"/>
  <c r="I89" i="47"/>
  <c r="O61" i="38"/>
  <c r="I91" i="84"/>
  <c r="I35" i="92"/>
  <c r="N49" i="59"/>
  <c r="I42" i="60"/>
  <c r="N64" i="62"/>
  <c r="G82" i="27"/>
  <c r="N8" i="33"/>
  <c r="G8" i="83"/>
  <c r="N71" i="75"/>
  <c r="G85"/>
  <c r="L38" i="25"/>
  <c r="D54" i="87"/>
  <c r="N19" i="57"/>
  <c r="K61" i="61"/>
  <c r="K58" i="91"/>
  <c r="J85" i="50"/>
  <c r="D34" i="25"/>
  <c r="E32" i="74"/>
  <c r="H76" i="78"/>
  <c r="I56" i="41"/>
  <c r="K73" i="65"/>
  <c r="K62" i="67"/>
  <c r="D19" i="22"/>
  <c r="N80" i="30"/>
  <c r="I31" i="41"/>
  <c r="N49" i="44"/>
  <c r="E6" i="49"/>
  <c r="K85" i="39"/>
  <c r="H77" i="58"/>
  <c r="N51" i="27"/>
  <c r="I28" i="56"/>
  <c r="L107" i="34"/>
  <c r="J40" i="89"/>
  <c r="D104" i="75"/>
  <c r="J20" i="83"/>
  <c r="I94" i="65"/>
  <c r="N89" i="89"/>
  <c r="G77" i="66"/>
  <c r="J13" i="87"/>
  <c r="L20" i="61"/>
  <c r="I58" i="52"/>
  <c r="N51" i="93"/>
  <c r="J98" i="39"/>
  <c r="M50" i="57"/>
  <c r="D73" i="30"/>
  <c r="O97" i="53"/>
  <c r="E103" i="54"/>
  <c r="N13" i="75"/>
  <c r="N19" i="58"/>
  <c r="CH69" i="3"/>
  <c r="G34" i="70"/>
  <c r="K94" i="30"/>
  <c r="O103" i="84"/>
  <c r="G28" i="64"/>
  <c r="F41" i="81"/>
  <c r="L57" i="51"/>
  <c r="H11" i="48"/>
  <c r="J5" i="58"/>
  <c r="O64" i="84"/>
  <c r="G27" i="73"/>
  <c r="M45" i="29"/>
  <c r="M45" i="73"/>
  <c r="L61" i="55"/>
  <c r="K16" i="54"/>
  <c r="L43" i="89"/>
  <c r="I98" i="42"/>
  <c r="J45" i="71"/>
  <c r="M103" i="53"/>
  <c r="F23" i="33"/>
  <c r="J26" i="76"/>
  <c r="L44" i="84"/>
  <c r="M46" i="35"/>
  <c r="N26" i="61"/>
  <c r="E98" i="69"/>
  <c r="K79" i="68"/>
  <c r="J13" i="33"/>
  <c r="N6" i="56"/>
  <c r="I76" i="70"/>
  <c r="O77" i="68"/>
  <c r="N57" i="81"/>
  <c r="K35" i="27"/>
  <c r="F71" i="43"/>
  <c r="L21" i="22"/>
  <c r="O6" i="96"/>
  <c r="CB52" i="3"/>
  <c r="CI49"/>
  <c r="CI33"/>
  <c r="CK68"/>
  <c r="CD78"/>
  <c r="I56" i="96"/>
  <c r="U35"/>
  <c r="BR35" i="3"/>
  <c r="BL44"/>
  <c r="BS37"/>
  <c r="BR46"/>
  <c r="BJ37"/>
  <c r="BJ38"/>
  <c r="BM47"/>
  <c r="L8" i="96"/>
  <c r="O31"/>
  <c r="C25"/>
  <c r="BJ44" i="3"/>
  <c r="U31" i="96"/>
  <c r="AA63"/>
  <c r="L11" i="22"/>
  <c r="BN41" i="3"/>
  <c r="CH42"/>
  <c r="CF28"/>
  <c r="I55" i="96"/>
  <c r="CD42" i="3"/>
  <c r="L24" i="96"/>
  <c r="CG29" i="3"/>
  <c r="CF32"/>
  <c r="CJ63"/>
  <c r="BL38"/>
  <c r="CI72"/>
  <c r="BH33"/>
  <c r="L59" i="96"/>
  <c r="AA12"/>
  <c r="L45"/>
  <c r="CL26" i="3"/>
  <c r="R57" i="96"/>
  <c r="G63"/>
  <c r="CL59" i="3"/>
  <c r="CJ55"/>
  <c r="BM46"/>
  <c r="CE61"/>
  <c r="CE77"/>
  <c r="BH38"/>
  <c r="O23" i="96"/>
  <c r="CG43" i="3"/>
  <c r="AA40" i="96"/>
  <c r="G37"/>
  <c r="G45"/>
  <c r="CA73" i="3"/>
  <c r="C13" i="96"/>
  <c r="I29"/>
  <c r="CK54" i="3"/>
  <c r="L40" i="22"/>
  <c r="CB77" i="3"/>
  <c r="U64" i="96"/>
  <c r="CJ51" i="3"/>
  <c r="CE40"/>
  <c r="G6" i="96"/>
  <c r="O57"/>
  <c r="BP36" i="3"/>
  <c r="BN37"/>
  <c r="BP39"/>
  <c r="O48" i="96"/>
  <c r="CL41" i="3"/>
  <c r="CH67"/>
  <c r="I23" i="96"/>
  <c r="CC35" i="3"/>
  <c r="BJ43"/>
  <c r="CA70"/>
  <c r="BJ42"/>
  <c r="R13" i="96"/>
  <c r="CC31" i="3"/>
  <c r="I28" i="96"/>
  <c r="CL30" i="3"/>
  <c r="CB44"/>
  <c r="I47" i="96"/>
  <c r="L13"/>
  <c r="U26"/>
  <c r="CC76" i="3"/>
  <c r="C22" i="96"/>
  <c r="CL48" i="3"/>
  <c r="BQ32"/>
  <c r="CH54"/>
  <c r="BI43"/>
  <c r="BS42"/>
  <c r="BM36"/>
  <c r="CC77"/>
  <c r="BO46"/>
  <c r="O63" i="96"/>
  <c r="L25"/>
  <c r="U52"/>
  <c r="BM34" i="3"/>
  <c r="CB72"/>
  <c r="G26" i="96"/>
  <c r="CE66" i="3"/>
  <c r="G32" i="96"/>
  <c r="U7"/>
  <c r="CG48" i="3"/>
  <c r="CE57"/>
  <c r="BK40"/>
  <c r="I57" i="96"/>
  <c r="CB35" i="3"/>
  <c r="CE50"/>
  <c r="BP32"/>
  <c r="C40" i="22"/>
  <c r="CE80" i="3"/>
  <c r="CB80"/>
  <c r="CJ67"/>
  <c r="CI67"/>
  <c r="CJ68"/>
  <c r="CL72"/>
  <c r="CE29"/>
  <c r="CL54"/>
  <c r="R21" i="96"/>
  <c r="BL35" i="3"/>
  <c r="BN34"/>
  <c r="BP33"/>
  <c r="BM35"/>
  <c r="BP37"/>
  <c r="BO47"/>
  <c r="O43" i="96"/>
  <c r="CJ27" i="3"/>
  <c r="X42" i="96"/>
  <c r="C55"/>
  <c r="CK69" i="3"/>
  <c r="I58" i="96"/>
  <c r="R12"/>
  <c r="CA28" i="3"/>
  <c r="G50" i="96"/>
  <c r="BK43" i="3"/>
  <c r="R51" i="96"/>
  <c r="CL31" i="3"/>
  <c r="C22" i="22"/>
  <c r="CF78" i="3"/>
  <c r="X51" i="96"/>
  <c r="K19" i="22"/>
  <c r="CC65" i="3"/>
  <c r="AA62" i="96"/>
  <c r="CA35" i="3"/>
  <c r="CI56"/>
  <c r="BI40"/>
  <c r="C49" i="96"/>
  <c r="CE52" i="3"/>
  <c r="U47" i="96"/>
  <c r="CA41" i="3"/>
  <c r="CG74"/>
  <c r="CG28"/>
  <c r="BJ33"/>
  <c r="I18" i="96"/>
  <c r="I41"/>
  <c r="L16" i="22"/>
  <c r="CL36" i="3"/>
  <c r="CD70"/>
  <c r="CE49"/>
  <c r="L27" i="22"/>
  <c r="CL76" i="3"/>
  <c r="CA52"/>
  <c r="CK32"/>
  <c r="CF29"/>
  <c r="I22" i="96"/>
  <c r="CD38" i="3"/>
  <c r="CE56"/>
  <c r="CH49"/>
  <c r="CA32"/>
  <c r="CH68"/>
  <c r="CA80"/>
  <c r="CL70"/>
  <c r="CD49"/>
  <c r="BS35"/>
  <c r="BO38"/>
  <c r="BR37"/>
  <c r="CF73"/>
  <c r="BP47"/>
  <c r="L31" i="22"/>
  <c r="CD39" i="3"/>
  <c r="U45" i="96"/>
  <c r="CJ79" i="3"/>
  <c r="X19" i="96"/>
  <c r="G17"/>
  <c r="CE51" i="3"/>
  <c r="CD61"/>
  <c r="D53" i="96"/>
  <c r="L6" i="22"/>
  <c r="CF63" i="3"/>
  <c r="CJ48"/>
  <c r="U55" i="96"/>
  <c r="R16"/>
  <c r="D22"/>
  <c r="CI59" i="3"/>
  <c r="CH30"/>
  <c r="CF79"/>
  <c r="CL71"/>
  <c r="CC34"/>
  <c r="BI46"/>
  <c r="CJ26"/>
  <c r="O54" i="96"/>
  <c r="CE71" i="3"/>
  <c r="CF35"/>
  <c r="BJ36"/>
  <c r="BN39"/>
  <c r="BM42"/>
  <c r="CL63"/>
  <c r="CD52"/>
  <c r="CD43"/>
  <c r="CH35"/>
  <c r="O58" i="96"/>
  <c r="CE59" i="3"/>
  <c r="BO42"/>
  <c r="CD69"/>
  <c r="R33" i="96"/>
  <c r="G49"/>
  <c r="CG41" i="3"/>
  <c r="R36" i="96"/>
  <c r="CC36" i="3"/>
  <c r="CB59"/>
  <c r="CF27"/>
  <c r="AA28" i="96"/>
  <c r="CC43" i="3"/>
  <c r="D29" i="22"/>
  <c r="CF50" i="3"/>
  <c r="F13" i="97"/>
  <c r="CH28" i="3"/>
  <c r="L18" i="22"/>
  <c r="CE26" i="3"/>
  <c r="CD32"/>
  <c r="CD73"/>
  <c r="CG32"/>
  <c r="CK67"/>
  <c r="CG60"/>
  <c r="F11" i="97"/>
  <c r="CL61" i="3"/>
  <c r="O16" i="96"/>
  <c r="K22" i="22"/>
  <c r="D18" i="96"/>
  <c r="O62"/>
  <c r="CB64" i="3"/>
  <c r="CF41"/>
  <c r="CE70"/>
  <c r="CI60"/>
  <c r="BP42"/>
  <c r="BM39"/>
  <c r="BN45"/>
  <c r="CA48"/>
  <c r="O47" i="96"/>
  <c r="CC40" i="3"/>
  <c r="I40" i="96"/>
  <c r="BQ37" i="3"/>
  <c r="CA44"/>
  <c r="BS46"/>
  <c r="CE31"/>
  <c r="AA52" i="96"/>
  <c r="CD68" i="3"/>
  <c r="BM33"/>
  <c r="CH66"/>
  <c r="CC30"/>
  <c r="C14" i="22"/>
  <c r="CF37" i="3"/>
  <c r="C9" i="22"/>
  <c r="CJ65" i="3"/>
  <c r="BQ47"/>
  <c r="CC71"/>
  <c r="CD33"/>
  <c r="K17" i="22"/>
  <c r="CH71" i="3"/>
  <c r="X49" i="96"/>
  <c r="X26"/>
  <c r="G15"/>
  <c r="D42"/>
  <c r="CB79" i="3"/>
  <c r="BL40"/>
  <c r="CE48"/>
  <c r="CH61"/>
  <c r="CI75"/>
  <c r="CL68"/>
  <c r="O32" i="96"/>
  <c r="BK34" i="3"/>
  <c r="BS45"/>
  <c r="G54" i="96"/>
  <c r="CE72" i="3"/>
  <c r="CI47"/>
  <c r="AA57" i="96"/>
  <c r="CE46" i="3"/>
  <c r="CK81"/>
  <c r="CL37"/>
  <c r="U57" i="96"/>
  <c r="L28"/>
  <c r="CA62" i="3"/>
  <c r="L6" i="96"/>
  <c r="CE63" i="3"/>
  <c r="F12" i="97"/>
  <c r="CB39" i="3"/>
  <c r="CB45"/>
  <c r="CK40"/>
  <c r="C8" i="97"/>
  <c r="O61" i="96"/>
  <c r="CC32" i="3"/>
  <c r="CH58"/>
  <c r="CF69"/>
  <c r="BK46"/>
  <c r="CA65"/>
  <c r="O64" i="96"/>
  <c r="CL38" i="3"/>
  <c r="D30" i="96"/>
  <c r="CG50" i="3"/>
  <c r="BR42"/>
  <c r="BH41"/>
  <c r="CF62"/>
  <c r="CB55"/>
  <c r="X36" i="96"/>
  <c r="CB31" i="3"/>
  <c r="CG40"/>
  <c r="BS41"/>
  <c r="CH76"/>
  <c r="CH62"/>
  <c r="R31" i="96"/>
  <c r="CJ77" i="3"/>
  <c r="CA61"/>
  <c r="CD62"/>
  <c r="X16" i="96"/>
  <c r="R50"/>
  <c r="CJ60" i="3"/>
  <c r="BI35"/>
  <c r="CA31"/>
  <c r="CJ46"/>
  <c r="CD77"/>
  <c r="CH53"/>
  <c r="L26" i="96"/>
  <c r="BP38" i="3"/>
  <c r="BP41"/>
  <c r="BP43"/>
  <c r="CB69"/>
  <c r="CF52"/>
  <c r="C13" i="22"/>
  <c r="CE62" i="3"/>
  <c r="CC68"/>
  <c r="U30" i="96"/>
  <c r="CA49" i="3"/>
  <c r="BI41"/>
  <c r="C52" i="96"/>
  <c r="X41"/>
  <c r="L53"/>
  <c r="CA79" i="3"/>
  <c r="R22" i="96"/>
  <c r="CD31" i="3"/>
  <c r="CC44"/>
  <c r="C29" i="96"/>
  <c r="CJ38" i="3"/>
  <c r="BO45"/>
  <c r="BK38"/>
  <c r="CF66"/>
  <c r="CE74"/>
  <c r="CL52"/>
  <c r="G12" i="97"/>
  <c r="R23" i="96"/>
  <c r="CF31" i="3"/>
  <c r="I46" i="96"/>
  <c r="X43"/>
  <c r="BQ36" i="3"/>
  <c r="CF72"/>
  <c r="CI39"/>
  <c r="BL45"/>
  <c r="BH43"/>
  <c r="CI71"/>
  <c r="CI66"/>
  <c r="C44" i="96"/>
  <c r="BL47" i="3"/>
  <c r="AA61" i="96"/>
  <c r="CH78" i="3"/>
  <c r="AA18" i="96"/>
  <c r="CJ29" i="3"/>
  <c r="CA40"/>
  <c r="CA54"/>
  <c r="CJ71"/>
  <c r="F9" i="97"/>
  <c r="CI54" i="3"/>
  <c r="CF47"/>
  <c r="CK43"/>
  <c r="CG33"/>
  <c r="CF48"/>
  <c r="BN35"/>
  <c r="BN42"/>
  <c r="BH35"/>
  <c r="BP44"/>
  <c r="BR45"/>
  <c r="BI37"/>
  <c r="BR41"/>
  <c r="CF70"/>
  <c r="D41" i="96"/>
  <c r="L7"/>
  <c r="X21"/>
  <c r="R25"/>
  <c r="BM41" i="3"/>
  <c r="CD53"/>
  <c r="BQ33"/>
  <c r="U29" i="96"/>
  <c r="X8"/>
  <c r="BP35" i="3"/>
  <c r="O13" i="96"/>
  <c r="G52"/>
  <c r="CC73" i="3"/>
  <c r="BJ46"/>
  <c r="CG59"/>
  <c r="CH27"/>
  <c r="CD79"/>
  <c r="F8" i="97"/>
  <c r="BN47" i="3"/>
  <c r="CL49"/>
  <c r="CB51"/>
  <c r="CB37"/>
  <c r="BL37"/>
  <c r="K40" i="22"/>
  <c r="CA59" i="3"/>
  <c r="AA15" i="96"/>
  <c r="CC47" i="3"/>
  <c r="CJ39"/>
  <c r="CK49"/>
  <c r="X47" i="96"/>
  <c r="CE79" i="3"/>
  <c r="AA54" i="96"/>
  <c r="CL53" i="3"/>
  <c r="C30" i="96"/>
  <c r="BH32" i="3"/>
  <c r="C32" i="96"/>
  <c r="L7" i="22"/>
  <c r="CA60" i="3"/>
  <c r="BK41"/>
  <c r="CG57"/>
  <c r="CI81"/>
  <c r="CJ72"/>
  <c r="CF45"/>
  <c r="BO39"/>
  <c r="BM37"/>
  <c r="BQ46"/>
  <c r="BQ38"/>
  <c r="G29" i="96"/>
  <c r="BQ40" i="3"/>
  <c r="CF65"/>
  <c r="G8" i="97"/>
  <c r="D23" i="96"/>
  <c r="CE38" i="3"/>
  <c r="B10" i="97"/>
  <c r="CC38" i="3"/>
  <c r="X29" i="96"/>
  <c r="I13"/>
  <c r="O15"/>
  <c r="U15"/>
  <c r="CD63" i="3"/>
  <c r="CI55"/>
  <c r="CG62"/>
  <c r="I49" i="96"/>
  <c r="X34"/>
  <c r="CD64" i="3"/>
  <c r="CJ49"/>
  <c r="CA36"/>
  <c r="D29" i="96"/>
  <c r="CE39" i="3"/>
  <c r="CF33"/>
  <c r="CF60"/>
  <c r="BK35"/>
  <c r="BO40"/>
  <c r="BO36"/>
  <c r="BQ35"/>
  <c r="O34" i="96"/>
  <c r="X24"/>
  <c r="CE45" i="3"/>
  <c r="AA50" i="96"/>
  <c r="O21"/>
  <c r="AA55"/>
  <c r="U36"/>
  <c r="L16"/>
  <c r="R43"/>
  <c r="BJ32" i="3"/>
  <c r="CL35"/>
  <c r="CA74"/>
  <c r="CJ78"/>
  <c r="AA43" i="96"/>
  <c r="CC72" i="3"/>
  <c r="CB38"/>
  <c r="CD50"/>
  <c r="CE32"/>
  <c r="X58" i="96"/>
  <c r="CJ54" i="3"/>
  <c r="CB76"/>
  <c r="CE30"/>
  <c r="CJ57"/>
  <c r="L27" i="96"/>
  <c r="O17"/>
  <c r="CG66" i="3"/>
  <c r="O20" i="96"/>
  <c r="BP46" i="3"/>
  <c r="BI39"/>
  <c r="BN46"/>
  <c r="BP34"/>
  <c r="BR44"/>
  <c r="BN43"/>
  <c r="BH46"/>
  <c r="CH36"/>
  <c r="O8" i="96"/>
  <c r="O19"/>
  <c r="L36" i="22"/>
  <c r="BL36" i="3"/>
  <c r="BL46"/>
  <c r="CK52"/>
  <c r="C48" i="96"/>
  <c r="CK55" i="3"/>
  <c r="BM43"/>
  <c r="O38" i="96"/>
  <c r="CH39" i="3"/>
  <c r="CE55"/>
  <c r="CG56"/>
  <c r="CA78"/>
  <c r="C19" i="22"/>
  <c r="CE81" i="3"/>
  <c r="L42" i="96"/>
  <c r="CJ64" i="3"/>
  <c r="AA34" i="96"/>
  <c r="BM32" i="3"/>
  <c r="U8" i="96"/>
  <c r="C38"/>
  <c r="CA51" i="3"/>
  <c r="CL65"/>
  <c r="L34" i="22"/>
  <c r="CG44" i="3"/>
  <c r="CL50"/>
  <c r="BO34"/>
  <c r="D33" i="96"/>
  <c r="K11" i="22"/>
  <c r="CK37" i="3"/>
  <c r="K23" i="22"/>
  <c r="BL39" i="3"/>
  <c r="BI42"/>
  <c r="U16" i="96"/>
  <c r="BH44" i="3"/>
  <c r="D23" i="22"/>
  <c r="G9" i="97"/>
  <c r="G24" i="96"/>
  <c r="AA53"/>
  <c r="CL44" i="3"/>
  <c r="R15" i="96"/>
  <c r="CI69" i="3"/>
  <c r="CG64"/>
  <c r="U51" i="96"/>
  <c r="BQ44" i="3"/>
  <c r="BL43"/>
  <c r="BL34"/>
  <c r="BN40"/>
  <c r="L34" i="96"/>
  <c r="CA68" i="3"/>
  <c r="AA19" i="96"/>
  <c r="CC67" i="3"/>
  <c r="R54" i="96"/>
  <c r="G18"/>
  <c r="CB49" i="3"/>
  <c r="BQ43"/>
  <c r="D36" i="96"/>
  <c r="CE47" i="3"/>
  <c r="AA23" i="96"/>
  <c r="CB63" i="3"/>
  <c r="R26" i="96"/>
  <c r="CG27" i="3"/>
  <c r="BM44"/>
  <c r="D51" i="96"/>
  <c r="U37"/>
  <c r="CG30" i="3"/>
  <c r="CD44"/>
  <c r="BK44"/>
  <c r="CA67"/>
  <c r="CC57"/>
  <c r="CI78"/>
  <c r="BS44"/>
  <c r="F7" i="97"/>
  <c r="CG54" i="3"/>
  <c r="R6" i="96"/>
  <c r="CD71" i="3"/>
  <c r="CC61"/>
  <c r="G43" i="96"/>
  <c r="AA36"/>
  <c r="BR36" i="3"/>
  <c r="BO37"/>
  <c r="D31" i="22"/>
  <c r="CK36" i="3"/>
  <c r="D16" i="96"/>
  <c r="X25"/>
  <c r="K25" i="22"/>
  <c r="CF61" i="3"/>
  <c r="BJ35"/>
  <c r="CK79"/>
  <c r="CH72"/>
  <c r="O26" i="96"/>
  <c r="O22"/>
  <c r="CB65" i="3"/>
  <c r="BP45"/>
  <c r="I8" i="96"/>
  <c r="D20"/>
  <c r="BJ41" i="3"/>
  <c r="BQ39"/>
  <c r="C31" i="22"/>
  <c r="C7" i="97"/>
  <c r="I21" i="96"/>
  <c r="U6"/>
  <c r="G11" i="97"/>
  <c r="G7"/>
  <c r="CK65" i="3"/>
  <c r="CH57"/>
  <c r="BI44"/>
  <c r="BQ42"/>
  <c r="BJ34"/>
  <c r="CE36"/>
  <c r="CA57"/>
  <c r="CB43"/>
  <c r="CG79"/>
  <c r="R47" i="96"/>
  <c r="K14" i="22"/>
  <c r="CA33" i="3"/>
  <c r="U54" i="96"/>
  <c r="CC74" i="3"/>
  <c r="CB81"/>
  <c r="CB62"/>
  <c r="BL33"/>
  <c r="CE28"/>
  <c r="B8" i="97"/>
  <c r="L33" i="96"/>
  <c r="BI38" i="3"/>
  <c r="U50" i="96"/>
  <c r="BI33" i="3"/>
  <c r="CK46"/>
  <c r="CL81"/>
  <c r="BR33"/>
  <c r="CB30"/>
  <c r="CF55"/>
  <c r="O51" i="96"/>
  <c r="L51"/>
  <c r="CG45" i="3"/>
  <c r="CD34"/>
  <c r="CK56"/>
  <c r="I17" i="96"/>
  <c r="CF42" i="3"/>
  <c r="CI79"/>
  <c r="CK45"/>
  <c r="CJ41"/>
  <c r="BH47"/>
  <c r="BR43"/>
  <c r="BM40"/>
  <c r="BR34"/>
  <c r="BQ45"/>
  <c r="BK36"/>
  <c r="G20" i="96"/>
  <c r="CA39" i="3"/>
  <c r="CK73"/>
  <c r="X13" i="96"/>
  <c r="CC45" i="3"/>
  <c r="CC46"/>
  <c r="BK39"/>
  <c r="CF34"/>
  <c r="K13" i="22"/>
  <c r="BL32" i="3"/>
  <c r="CC51"/>
  <c r="R40" i="96"/>
  <c r="G22"/>
  <c r="CD81" i="3"/>
  <c r="R18" i="96"/>
  <c r="D22" i="22"/>
  <c r="L23" i="96"/>
  <c r="BK37" i="3"/>
  <c r="BH37"/>
  <c r="CC39"/>
  <c r="CC79"/>
  <c r="CC28"/>
  <c r="CE65"/>
  <c r="CJ76"/>
  <c r="K12" i="22"/>
  <c r="AA59" i="96"/>
  <c r="CC59" i="3"/>
  <c r="U62" i="96"/>
  <c r="CE73" i="3"/>
  <c r="BJ45"/>
  <c r="G23" i="96"/>
  <c r="CD54" i="3"/>
  <c r="G56" i="96"/>
  <c r="CB58" i="3"/>
  <c r="R27" i="96"/>
  <c r="CE54" i="3"/>
  <c r="C8" i="96"/>
  <c r="BP40" i="3"/>
  <c r="CB32"/>
  <c r="CD57"/>
  <c r="CH63"/>
  <c r="CC37"/>
  <c r="CC58"/>
  <c r="BN38"/>
  <c r="BQ41"/>
  <c r="BS43"/>
  <c r="D11" i="22"/>
  <c r="G21" i="96"/>
  <c r="U41"/>
  <c r="CK72" i="3"/>
  <c r="BK42"/>
  <c r="BH42"/>
  <c r="CK35"/>
  <c r="D38" i="96"/>
  <c r="G31"/>
  <c r="D57"/>
  <c r="C43"/>
  <c r="CI58" i="3"/>
  <c r="CL78"/>
  <c r="G41" i="96"/>
  <c r="D18" i="22"/>
  <c r="D44" i="96"/>
  <c r="C10" i="97"/>
  <c r="R59" i="96"/>
  <c r="CA58" i="3"/>
  <c r="CL79"/>
  <c r="G46" i="96"/>
  <c r="CB73" i="3"/>
  <c r="CF71"/>
  <c r="CH70"/>
  <c r="D56" i="96"/>
  <c r="CE75" i="3"/>
  <c r="CB75"/>
  <c r="CH48"/>
  <c r="CL58"/>
  <c r="R7" i="96"/>
  <c r="BH34" i="3"/>
  <c r="BS40"/>
  <c r="BM38"/>
  <c r="O25" i="96"/>
  <c r="CF56" i="3"/>
  <c r="BK33"/>
  <c r="CB42"/>
  <c r="BN44"/>
  <c r="CE35"/>
  <c r="CF81"/>
  <c r="CK57"/>
  <c r="I62" i="96"/>
  <c r="CD60" i="3"/>
  <c r="CH46"/>
  <c r="CC81"/>
  <c r="CD51"/>
  <c r="CH26"/>
  <c r="D40" i="96"/>
  <c r="I59"/>
  <c r="CC60" i="3"/>
  <c r="CD41"/>
  <c r="CH75"/>
  <c r="CK27"/>
  <c r="L37" i="96"/>
  <c r="CF57" i="3"/>
  <c r="CB68"/>
  <c r="CH44"/>
  <c r="G57" i="96"/>
  <c r="CA37" i="3"/>
  <c r="CI28"/>
  <c r="U43" i="96"/>
  <c r="BR47" i="3"/>
  <c r="BI36"/>
  <c r="BM45"/>
  <c r="BS36"/>
  <c r="BQ34"/>
  <c r="BN33"/>
  <c r="BL42"/>
  <c r="R63" i="96"/>
  <c r="BN36" i="3"/>
  <c r="U21" i="96"/>
  <c r="O41"/>
  <c r="I19"/>
  <c r="CF76" i="3"/>
  <c r="CB36"/>
  <c r="G62" i="96"/>
  <c r="AA46"/>
  <c r="CA42" i="3"/>
  <c r="CF26"/>
  <c r="G16" i="96"/>
  <c r="CH43" i="3"/>
  <c r="CE64"/>
  <c r="CC53"/>
  <c r="BO35"/>
  <c r="CD59"/>
  <c r="U59" i="96"/>
  <c r="CB26" i="3"/>
  <c r="BJ40"/>
  <c r="BO41"/>
  <c r="R46" i="96"/>
  <c r="C40"/>
  <c r="L62"/>
  <c r="G58"/>
  <c r="CD48" i="3"/>
  <c r="D7" i="96"/>
  <c r="BJ47" i="3"/>
  <c r="R52" i="96"/>
  <c r="U53"/>
  <c r="R29"/>
  <c r="L20"/>
  <c r="CC56" i="3"/>
  <c r="X64" i="96"/>
  <c r="CE44" i="3"/>
  <c r="CB74"/>
  <c r="CL46"/>
  <c r="D12" i="22"/>
  <c r="CB47" i="3"/>
  <c r="CB33"/>
  <c r="D25" i="96"/>
  <c r="L57"/>
  <c r="CB78" i="3"/>
  <c r="AA30" i="96"/>
  <c r="CL74" i="3"/>
  <c r="CK44"/>
  <c r="CD56"/>
  <c r="BR32"/>
  <c r="BK45"/>
  <c r="BR40"/>
  <c r="BS39"/>
  <c r="CF49"/>
  <c r="R24" i="96"/>
  <c r="U39"/>
  <c r="CI53" i="3"/>
  <c r="CF44"/>
  <c r="BH40"/>
  <c r="R62" i="96"/>
  <c r="G48"/>
  <c r="BR39" i="3"/>
  <c r="I30" i="96"/>
  <c r="BO43" i="3"/>
  <c r="R8" i="96"/>
  <c r="I52"/>
  <c r="CK42" i="3"/>
  <c r="CH33"/>
  <c r="X18" i="96"/>
  <c r="L38"/>
  <c r="AA13"/>
  <c r="CK80" i="3"/>
  <c r="BH39"/>
  <c r="CH79"/>
  <c r="BS33"/>
  <c r="BO33"/>
  <c r="D50" i="96"/>
  <c r="CF64" i="3"/>
  <c r="AA8" i="96"/>
  <c r="CA45" i="3"/>
  <c r="CI74"/>
  <c r="CJ34"/>
  <c r="CB34"/>
  <c r="BS47"/>
  <c r="BI34"/>
  <c r="CH41"/>
  <c r="L56" i="96"/>
  <c r="BK32" i="3"/>
  <c r="G10" i="97"/>
  <c r="CA53" i="3"/>
  <c r="G33" i="96"/>
  <c r="C45"/>
  <c r="CA29" i="3"/>
  <c r="I48" i="96"/>
  <c r="L20" i="22"/>
  <c r="CC75" i="3"/>
  <c r="L44" i="96"/>
  <c r="CA46" i="3"/>
  <c r="CI34"/>
  <c r="BO44"/>
  <c r="CC48"/>
  <c r="C61" i="96"/>
  <c r="CI41" i="3"/>
  <c r="C37" i="96"/>
  <c r="CC66" i="3"/>
  <c r="BH45"/>
  <c r="CH56"/>
  <c r="BI47"/>
  <c r="X62" i="96"/>
  <c r="G51"/>
  <c r="CH50" i="3"/>
  <c r="CA50"/>
  <c r="BS34"/>
  <c r="CA71"/>
  <c r="CG46"/>
  <c r="O33" i="96"/>
  <c r="CH52" i="3"/>
  <c r="G44" i="96"/>
  <c r="BL41" i="3"/>
  <c r="CB48"/>
  <c r="CJ43"/>
  <c r="U34" i="96"/>
  <c r="D34" i="22"/>
  <c r="L50" i="96"/>
  <c r="CD72" i="3"/>
  <c r="CF58"/>
  <c r="BS38"/>
  <c r="C59" i="96"/>
  <c r="CH34" i="3"/>
  <c r="CC63"/>
  <c r="CK62"/>
  <c r="BR38"/>
  <c r="G42" i="96"/>
  <c r="I36"/>
  <c r="CC50" i="3"/>
  <c r="CB60"/>
  <c r="BJ39"/>
  <c r="CB67"/>
  <c r="CL69"/>
  <c r="CD75"/>
  <c r="CK60"/>
  <c r="CD35"/>
  <c r="BH36"/>
  <c r="CG26"/>
  <c r="BI45"/>
  <c r="D39" i="96"/>
  <c r="AA22"/>
  <c r="CE78" i="3"/>
  <c r="L43" i="96"/>
  <c r="D10" i="22"/>
  <c r="B13" i="97"/>
  <c r="L13" i="22"/>
  <c r="D13"/>
  <c r="D17"/>
  <c r="L17"/>
  <c r="K20"/>
  <c r="D9"/>
  <c r="L9"/>
  <c r="BI32" i="3"/>
  <c r="B7" i="97"/>
  <c r="K7" i="22"/>
  <c r="C7"/>
  <c r="CL73" i="3"/>
  <c r="D36" i="22"/>
  <c r="C36"/>
  <c r="CA72" i="3"/>
  <c r="D15" i="22"/>
  <c r="CA43" i="3"/>
  <c r="C8" i="22" l="1"/>
  <c r="K8"/>
  <c r="N9"/>
  <c r="F4" i="101" s="1"/>
  <c r="M9" i="22"/>
  <c r="F3" i="101"/>
  <c r="E17" i="22"/>
  <c r="F17"/>
  <c r="F10"/>
  <c r="E10"/>
  <c r="M21"/>
  <c r="N21"/>
  <c r="I78" i="70"/>
  <c r="K81" i="68"/>
  <c r="M105" i="53"/>
  <c r="L43" i="88"/>
  <c r="L63" i="55"/>
  <c r="M45" i="28"/>
  <c r="O66" i="84"/>
  <c r="O105"/>
  <c r="K96" i="30"/>
  <c r="E105" i="54"/>
  <c r="O99" i="53"/>
  <c r="D75" i="30"/>
  <c r="N89" i="88"/>
  <c r="I96" i="65"/>
  <c r="J40" i="88"/>
  <c r="K87" i="39"/>
  <c r="K75" i="65"/>
  <c r="H78" i="78"/>
  <c r="J87" i="50"/>
  <c r="K63" i="61"/>
  <c r="G87" i="75"/>
  <c r="G84" i="27"/>
  <c r="N66" i="62"/>
  <c r="I93" i="84"/>
  <c r="O63" i="38"/>
  <c r="O61" i="37"/>
  <c r="O105" i="64"/>
  <c r="O96" i="84"/>
  <c r="F5" i="28"/>
  <c r="J84" i="29"/>
  <c r="J82" i="28"/>
  <c r="J17" i="88"/>
  <c r="F81" i="39"/>
  <c r="J99" i="30"/>
  <c r="N81" i="39"/>
  <c r="O64" i="37"/>
  <c r="O66" i="38"/>
  <c r="N84" i="67"/>
  <c r="L81" i="25"/>
  <c r="M50" i="88"/>
  <c r="O72" i="87"/>
  <c r="H34" i="37"/>
  <c r="N10" i="22"/>
  <c r="G4" i="101" s="1"/>
  <c r="M10" i="22"/>
  <c r="G3" i="101"/>
  <c r="F96" i="91"/>
  <c r="M75" i="57"/>
  <c r="G78" i="68"/>
  <c r="O108" i="36"/>
  <c r="E63" i="63"/>
  <c r="F15" i="31"/>
  <c r="L72" i="72"/>
  <c r="O29" i="37"/>
  <c r="F78" i="71"/>
  <c r="J72" i="55"/>
  <c r="O84" i="34"/>
  <c r="N87" i="68"/>
  <c r="O108" i="33"/>
  <c r="F11" i="37"/>
  <c r="J108" i="84"/>
  <c r="M96" i="36"/>
  <c r="O84"/>
  <c r="M75" i="67"/>
  <c r="H90" i="62"/>
  <c r="O99" i="90"/>
  <c r="J108" i="41"/>
  <c r="F105" i="25"/>
  <c r="K105" i="36"/>
  <c r="M87" i="38"/>
  <c r="M85" i="37"/>
  <c r="O24"/>
  <c r="K66" i="65"/>
  <c r="CR73" i="3"/>
  <c r="CR74" s="1"/>
  <c r="L21" i="31"/>
  <c r="L78" i="82"/>
  <c r="H96" i="41"/>
  <c r="F69" i="60"/>
  <c r="D102" i="58"/>
  <c r="L90" i="72"/>
  <c r="N75" i="55"/>
  <c r="I93" i="50"/>
  <c r="O102" i="54"/>
  <c r="D66" i="49"/>
  <c r="N63" i="83"/>
  <c r="L108" i="54"/>
  <c r="H87" i="58"/>
  <c r="N34" i="28"/>
  <c r="O28" i="88"/>
  <c r="O84" i="27"/>
  <c r="H102" i="50"/>
  <c r="E10" i="31"/>
  <c r="H34" i="96"/>
  <c r="CE123" i="3"/>
  <c r="K63" i="54"/>
  <c r="I87" i="32"/>
  <c r="I85" i="31"/>
  <c r="I6" i="28"/>
  <c r="K93" i="56"/>
  <c r="M69" i="26"/>
  <c r="J108" i="90"/>
  <c r="F13" i="88"/>
  <c r="D93" i="73"/>
  <c r="G96" i="94"/>
  <c r="J102" i="27"/>
  <c r="L108" i="38"/>
  <c r="L106" i="37"/>
  <c r="D87" i="59"/>
  <c r="I72" i="36"/>
  <c r="H22" i="31"/>
  <c r="M34"/>
  <c r="F96" i="60"/>
  <c r="E90" i="81"/>
  <c r="M13" i="28"/>
  <c r="G68" i="37"/>
  <c r="D46" i="31"/>
  <c r="M22" i="37"/>
  <c r="G108" i="33"/>
  <c r="H102" i="58"/>
  <c r="K78" i="80"/>
  <c r="I96" i="58"/>
  <c r="M55" i="88"/>
  <c r="F93" i="69"/>
  <c r="D63" i="87"/>
  <c r="F69" i="45"/>
  <c r="I108" i="68"/>
  <c r="M21" i="31"/>
  <c r="K99" i="39"/>
  <c r="D72" i="79"/>
  <c r="O93" i="71"/>
  <c r="F87" i="79"/>
  <c r="F87" i="42"/>
  <c r="K87" i="64"/>
  <c r="H53" i="96"/>
  <c r="I87" i="47"/>
  <c r="O99" i="40"/>
  <c r="F75" i="73"/>
  <c r="G63" i="85"/>
  <c r="F13" i="28"/>
  <c r="M93" i="54"/>
  <c r="K78" i="60"/>
  <c r="K61" i="28"/>
  <c r="K63" i="29"/>
  <c r="H66" i="71"/>
  <c r="I84" i="19"/>
  <c r="G72" i="60"/>
  <c r="J72" i="46"/>
  <c r="M105" i="43"/>
  <c r="J90" i="47"/>
  <c r="I96" i="92"/>
  <c r="D84" i="39"/>
  <c r="G67" i="37"/>
  <c r="G69" i="38"/>
  <c r="D73" i="31"/>
  <c r="D75" i="32"/>
  <c r="K99" i="63"/>
  <c r="H84" i="27"/>
  <c r="I78" i="25"/>
  <c r="O81" i="92"/>
  <c r="K106" i="37"/>
  <c r="K108" i="38"/>
  <c r="L11" i="31"/>
  <c r="D102" i="92"/>
  <c r="F99" i="33"/>
  <c r="E64" i="37"/>
  <c r="E66" i="38"/>
  <c r="M105" i="57"/>
  <c r="L23" i="88"/>
  <c r="L8" i="37"/>
  <c r="G102" i="81"/>
  <c r="N82" i="31"/>
  <c r="N84" i="32"/>
  <c r="L78" i="75"/>
  <c r="F78" i="90"/>
  <c r="H72" i="58"/>
  <c r="N63" i="29"/>
  <c r="N61" i="28"/>
  <c r="N15"/>
  <c r="I35" i="31"/>
  <c r="E66" i="90"/>
  <c r="CB123" i="3"/>
  <c r="O99" i="55"/>
  <c r="G66" i="67"/>
  <c r="E49" i="37"/>
  <c r="O78" i="91"/>
  <c r="H87" i="85"/>
  <c r="N90" i="27"/>
  <c r="E55" i="28"/>
  <c r="K54" i="88"/>
  <c r="L78" i="84"/>
  <c r="E93" i="65"/>
  <c r="J66" i="60"/>
  <c r="K66" i="27"/>
  <c r="D84" i="87"/>
  <c r="G86" i="37"/>
  <c r="F84" i="46"/>
  <c r="F84" i="93"/>
  <c r="E87" i="76"/>
  <c r="D84" i="53"/>
  <c r="K63" i="34"/>
  <c r="L75" i="72"/>
  <c r="K108" i="39"/>
  <c r="O66" i="73"/>
  <c r="F108" i="61"/>
  <c r="N49" i="37"/>
  <c r="N66" i="46"/>
  <c r="CJ95" i="3"/>
  <c r="CJ115"/>
  <c r="N84" i="30"/>
  <c r="K87" i="26"/>
  <c r="I24" i="28"/>
  <c r="F63" i="59"/>
  <c r="D54" i="37"/>
  <c r="J84" i="26"/>
  <c r="G105" i="34"/>
  <c r="E72" i="41"/>
  <c r="J84" i="79"/>
  <c r="O108" i="35"/>
  <c r="N99" i="57"/>
  <c r="N84" i="43"/>
  <c r="O102"/>
  <c r="BK65" i="3"/>
  <c r="L90" i="84"/>
  <c r="E99" i="34"/>
  <c r="G55" i="28"/>
  <c r="F72" i="52"/>
  <c r="G56" i="88"/>
  <c r="M12" i="37"/>
  <c r="L108" i="91"/>
  <c r="BO49" i="3"/>
  <c r="L95" i="31"/>
  <c r="G93" i="35"/>
  <c r="O69" i="70"/>
  <c r="L23" i="37"/>
  <c r="F96" i="29"/>
  <c r="F94" i="28"/>
  <c r="O7" i="37"/>
  <c r="I102" i="65"/>
  <c r="F84" i="57"/>
  <c r="O102" i="64"/>
  <c r="J105" i="26"/>
  <c r="D105" i="92"/>
  <c r="D69" i="40"/>
  <c r="F99" i="91"/>
  <c r="F81" i="93"/>
  <c r="J96" i="43"/>
  <c r="N47" i="37"/>
  <c r="G78" i="33"/>
  <c r="I90" i="79"/>
  <c r="E87" i="86"/>
  <c r="L89" i="31"/>
  <c r="L98" i="37"/>
  <c r="J96" i="54"/>
  <c r="O63" i="19"/>
  <c r="G63" i="59"/>
  <c r="F81" i="26"/>
  <c r="O81" i="54"/>
  <c r="F63" i="41"/>
  <c r="K24" i="88"/>
  <c r="E75" i="69"/>
  <c r="N78" i="68"/>
  <c r="F66" i="43"/>
  <c r="L52" i="88"/>
  <c r="M12"/>
  <c r="O108" i="65"/>
  <c r="G90" i="26"/>
  <c r="M79" i="28"/>
  <c r="M81" i="29"/>
  <c r="I72" i="67"/>
  <c r="CY31" i="3"/>
  <c r="CJ94"/>
  <c r="CJ114"/>
  <c r="K105" i="46"/>
  <c r="H87" i="54"/>
  <c r="O105" i="33"/>
  <c r="I108" i="44"/>
  <c r="G99" i="51"/>
  <c r="D33" i="37"/>
  <c r="H20"/>
  <c r="M66" i="61"/>
  <c r="K50" i="28"/>
  <c r="K87" i="57"/>
  <c r="J5" i="28"/>
  <c r="M99" i="27"/>
  <c r="I84" i="71"/>
  <c r="N66" i="84"/>
  <c r="F96" i="93"/>
  <c r="M102" i="72"/>
  <c r="H106" i="31"/>
  <c r="H108" i="32"/>
  <c r="G96" i="74"/>
  <c r="D108" i="54"/>
  <c r="D66" i="75"/>
  <c r="G63" i="51"/>
  <c r="N63" i="82"/>
  <c r="I40" i="37"/>
  <c r="E24" i="28"/>
  <c r="K105" i="72"/>
  <c r="O87" i="90"/>
  <c r="K69" i="73"/>
  <c r="K84" i="68"/>
  <c r="E84" i="52"/>
  <c r="I107" i="88"/>
  <c r="H102" i="85"/>
  <c r="I102" i="75"/>
  <c r="F95" i="31"/>
  <c r="J72" i="69"/>
  <c r="M69" i="87"/>
  <c r="L75" i="63"/>
  <c r="J96" i="75"/>
  <c r="K52" i="37"/>
  <c r="G96" i="84"/>
  <c r="N22" i="28"/>
  <c r="E63" i="43"/>
  <c r="H81" i="75"/>
  <c r="E34" i="28"/>
  <c r="F90" i="45"/>
  <c r="I81" i="26"/>
  <c r="K63" i="33"/>
  <c r="J75" i="50"/>
  <c r="O72" i="91"/>
  <c r="L105" i="33"/>
  <c r="F43" i="31"/>
  <c r="E72" i="67"/>
  <c r="F69" i="92"/>
  <c r="O78" i="61"/>
  <c r="F72" i="82"/>
  <c r="F66" i="77"/>
  <c r="H63" i="78"/>
  <c r="M105" i="86"/>
  <c r="I78" i="51"/>
  <c r="D19" i="28"/>
  <c r="O87" i="58"/>
  <c r="K43" i="37"/>
  <c r="O63" i="45"/>
  <c r="L39" i="88"/>
  <c r="J99" i="53"/>
  <c r="K75" i="76"/>
  <c r="M72" i="74"/>
  <c r="N67" i="37"/>
  <c r="N69" i="38"/>
  <c r="K63" i="68"/>
  <c r="G90" i="58"/>
  <c r="H66" i="40"/>
  <c r="L81" i="63"/>
  <c r="N55" i="88"/>
  <c r="E35" i="37"/>
  <c r="M35"/>
  <c r="L102" i="69"/>
  <c r="K69" i="66"/>
  <c r="D81" i="40"/>
  <c r="D62" i="37"/>
  <c r="F65" i="88"/>
  <c r="H84" i="19"/>
  <c r="D93" i="80"/>
  <c r="M108" i="54"/>
  <c r="E75" i="73"/>
  <c r="K81" i="33"/>
  <c r="E108" i="25"/>
  <c r="N93" i="26"/>
  <c r="E32" i="88"/>
  <c r="D103"/>
  <c r="D105" i="89"/>
  <c r="L96" i="58"/>
  <c r="K72" i="72"/>
  <c r="F9" i="28"/>
  <c r="N24" i="37"/>
  <c r="O78" i="62"/>
  <c r="CY50" i="3"/>
  <c r="D103" i="31"/>
  <c r="D105" i="32"/>
  <c r="D34" i="31"/>
  <c r="D39" i="88"/>
  <c r="E81" i="39"/>
  <c r="J108" i="94"/>
  <c r="G87" i="44"/>
  <c r="F96" i="70"/>
  <c r="D10" i="88"/>
  <c r="N93" i="84"/>
  <c r="H87" i="50"/>
  <c r="J69" i="66"/>
  <c r="F72" i="57"/>
  <c r="K78" i="69"/>
  <c r="G69" i="83"/>
  <c r="N81" i="25"/>
  <c r="O81" i="36"/>
  <c r="D96" i="85"/>
  <c r="L108" i="64"/>
  <c r="K108" i="87"/>
  <c r="M78" i="64"/>
  <c r="D78" i="19"/>
  <c r="I69" i="61"/>
  <c r="K73" i="37"/>
  <c r="K75" i="38"/>
  <c r="I84" i="86"/>
  <c r="E96" i="33"/>
  <c r="F72" i="19"/>
  <c r="E94" i="37"/>
  <c r="E96" i="38"/>
  <c r="M63" i="40"/>
  <c r="K90" i="65"/>
  <c r="G90" i="64"/>
  <c r="D49" i="28"/>
  <c r="E36" i="37"/>
  <c r="H66" i="81"/>
  <c r="M33" i="31"/>
  <c r="L72" i="62"/>
  <c r="E63" i="85"/>
  <c r="G66"/>
  <c r="H87" i="82"/>
  <c r="G61" i="37"/>
  <c r="G63" i="38"/>
  <c r="G105" i="26"/>
  <c r="N69" i="25"/>
  <c r="O99" i="33"/>
  <c r="O72" i="59"/>
  <c r="E69" i="65"/>
  <c r="J96" i="80"/>
  <c r="H12" i="96"/>
  <c r="J78" i="87"/>
  <c r="G72" i="79"/>
  <c r="J87" i="94"/>
  <c r="E108" i="78"/>
  <c r="H36" i="37"/>
  <c r="K66" i="39"/>
  <c r="H105" i="73"/>
  <c r="I69" i="64"/>
  <c r="K90" i="44"/>
  <c r="I92" i="37"/>
  <c r="H81" i="64"/>
  <c r="O80" i="28"/>
  <c r="CE99" i="3"/>
  <c r="G93" i="81"/>
  <c r="F68" i="88"/>
  <c r="N72" i="91"/>
  <c r="O96" i="51"/>
  <c r="G26" i="37"/>
  <c r="L69" i="57"/>
  <c r="K57" i="28"/>
  <c r="D75" i="29"/>
  <c r="D73" i="28"/>
  <c r="J93" i="74"/>
  <c r="F56" i="37"/>
  <c r="H66" i="32"/>
  <c r="H64" i="31"/>
  <c r="M108" i="30"/>
  <c r="I62" i="88"/>
  <c r="M90" i="65"/>
  <c r="L96" i="26"/>
  <c r="M63" i="68"/>
  <c r="K99" i="53"/>
  <c r="D98" i="37"/>
  <c r="D87" i="68"/>
  <c r="F90" i="70"/>
  <c r="I58" i="37"/>
  <c r="F44" i="28"/>
  <c r="E63" i="84"/>
  <c r="D66" i="77"/>
  <c r="K96" i="74"/>
  <c r="N69" i="78"/>
  <c r="G105" i="80"/>
  <c r="K4" i="28"/>
  <c r="N75" i="32"/>
  <c r="N73" i="31"/>
  <c r="O105" i="19"/>
  <c r="E84" i="64"/>
  <c r="M24" i="31"/>
  <c r="J72" i="76"/>
  <c r="N87" i="61"/>
  <c r="N4" i="28"/>
  <c r="D96" i="69"/>
  <c r="H96" i="90"/>
  <c r="H90" i="94"/>
  <c r="H72" i="46"/>
  <c r="N87" i="44"/>
  <c r="J96" i="26"/>
  <c r="G22" i="88"/>
  <c r="H96" i="75"/>
  <c r="J107" i="28"/>
  <c r="M55" i="31"/>
  <c r="D102" i="40"/>
  <c r="O75" i="93"/>
  <c r="K72" i="30"/>
  <c r="J81" i="26"/>
  <c r="D63" i="92"/>
  <c r="G63" i="30"/>
  <c r="N4" i="31"/>
  <c r="N38" i="22"/>
  <c r="M38"/>
  <c r="K81" i="47"/>
  <c r="M84" i="78"/>
  <c r="E90" i="61"/>
  <c r="I52" i="37"/>
  <c r="D82"/>
  <c r="D84" i="38"/>
  <c r="F72" i="87"/>
  <c r="I99" i="19"/>
  <c r="L45" i="37"/>
  <c r="H99" i="83"/>
  <c r="K99" i="61"/>
  <c r="J87" i="79"/>
  <c r="O59" i="37"/>
  <c r="G87" i="38"/>
  <c r="G85" i="37"/>
  <c r="O42" i="88"/>
  <c r="D66" i="68"/>
  <c r="G75" i="51"/>
  <c r="F78" i="85"/>
  <c r="L93" i="82"/>
  <c r="I84" i="61"/>
  <c r="H66" i="68"/>
  <c r="H62" i="31"/>
  <c r="I84" i="72"/>
  <c r="N12" i="88"/>
  <c r="O99" i="48"/>
  <c r="G87" i="60"/>
  <c r="H72" i="93"/>
  <c r="N56" i="31"/>
  <c r="M84" i="19"/>
  <c r="I105" i="75"/>
  <c r="D105" i="30"/>
  <c r="F108" i="79"/>
  <c r="N87" i="40"/>
  <c r="E62" i="88"/>
  <c r="I108" i="94"/>
  <c r="I96" i="86"/>
  <c r="E72" i="91"/>
  <c r="N78" i="45"/>
  <c r="L102"/>
  <c r="J102" i="81"/>
  <c r="J59" i="31"/>
  <c r="N87" i="47"/>
  <c r="O81" i="43"/>
  <c r="H38" i="28"/>
  <c r="L93" i="65"/>
  <c r="J81" i="81"/>
  <c r="M93" i="40"/>
  <c r="D99" i="71"/>
  <c r="G23" i="31"/>
  <c r="I96" i="75"/>
  <c r="N69" i="56"/>
  <c r="N69" i="72"/>
  <c r="E72" i="57"/>
  <c r="E93" i="93"/>
  <c r="I87" i="54"/>
  <c r="F102" i="67"/>
  <c r="J77" i="31"/>
  <c r="D87" i="62"/>
  <c r="D102" i="50"/>
  <c r="K49" i="28"/>
  <c r="I108" i="33"/>
  <c r="H87" i="87"/>
  <c r="G90" i="86"/>
  <c r="O69" i="40"/>
  <c r="I66" i="35"/>
  <c r="M96" i="77"/>
  <c r="N86" i="28"/>
  <c r="I63" i="92"/>
  <c r="I27" i="88"/>
  <c r="I26" i="37"/>
  <c r="I87" i="63"/>
  <c r="F105" i="34"/>
  <c r="H63" i="56"/>
  <c r="K96" i="61"/>
  <c r="K84" i="74"/>
  <c r="N78" i="57"/>
  <c r="N63" i="86"/>
  <c r="M108" i="68"/>
  <c r="N90" i="69"/>
  <c r="K105" i="57"/>
  <c r="K107" i="37"/>
  <c r="D96" i="35"/>
  <c r="J105" i="65"/>
  <c r="N108" i="55"/>
  <c r="K87" i="76"/>
  <c r="E75" i="45"/>
  <c r="E4" i="28"/>
  <c r="I87" i="39"/>
  <c r="J78" i="19"/>
  <c r="F99" i="29"/>
  <c r="F97" i="28"/>
  <c r="I108" i="62"/>
  <c r="O93" i="35"/>
  <c r="J96" i="65"/>
  <c r="G104" i="37"/>
  <c r="M87" i="60"/>
  <c r="D68" i="88"/>
  <c r="J75" i="68"/>
  <c r="O72" i="69"/>
  <c r="G63" i="76"/>
  <c r="D69" i="79"/>
  <c r="D69" i="67"/>
  <c r="H105" i="84"/>
  <c r="E87" i="72"/>
  <c r="E99" i="49"/>
  <c r="K51" i="88"/>
  <c r="E72" i="40"/>
  <c r="L84" i="56"/>
  <c r="F24" i="37"/>
  <c r="F55" i="88"/>
  <c r="F23" i="37"/>
  <c r="K75" i="30"/>
  <c r="G66" i="76"/>
  <c r="N64" i="28"/>
  <c r="N66" i="29"/>
  <c r="F63" i="50"/>
  <c r="E72" i="27"/>
  <c r="H63" i="79"/>
  <c r="G81" i="35"/>
  <c r="H87" i="19"/>
  <c r="N107" i="88"/>
  <c r="D84" i="60"/>
  <c r="N69" i="87"/>
  <c r="N93" i="93"/>
  <c r="F9" i="88"/>
  <c r="O100" i="37"/>
  <c r="O102" i="38"/>
  <c r="H105" i="59"/>
  <c r="O69" i="91"/>
  <c r="L54" i="31"/>
  <c r="K93" i="90"/>
  <c r="K93" i="62"/>
  <c r="J81" i="56"/>
  <c r="F66" i="70"/>
  <c r="H105" i="48"/>
  <c r="D87" i="75"/>
  <c r="CI98" i="3"/>
  <c r="CX32"/>
  <c r="E93" i="25"/>
  <c r="K96" i="36"/>
  <c r="L92" i="28"/>
  <c r="M72" i="34"/>
  <c r="F102" i="93"/>
  <c r="N78" i="82"/>
  <c r="K81" i="26"/>
  <c r="H75" i="93"/>
  <c r="J81" i="71"/>
  <c r="I55" i="88"/>
  <c r="J102" i="49"/>
  <c r="K63" i="76"/>
  <c r="N78" i="26"/>
  <c r="I84" i="47"/>
  <c r="M108" i="65"/>
  <c r="G84" i="79"/>
  <c r="E66" i="58"/>
  <c r="CS29" i="3"/>
  <c r="CD88"/>
  <c r="O102" i="57"/>
  <c r="O78" i="82"/>
  <c r="N75" i="86"/>
  <c r="J108" i="36"/>
  <c r="G81" i="30"/>
  <c r="I105" i="56"/>
  <c r="E100" i="31"/>
  <c r="E102" i="32"/>
  <c r="O66" i="35"/>
  <c r="F90" i="43"/>
  <c r="H99" i="54"/>
  <c r="D23" i="31"/>
  <c r="E81" i="54"/>
  <c r="L15" i="31"/>
  <c r="J52" i="88"/>
  <c r="F90" i="87"/>
  <c r="G45" i="28"/>
  <c r="H47" i="37"/>
  <c r="I72" i="66"/>
  <c r="M78" i="55"/>
  <c r="O66" i="68"/>
  <c r="O69" i="77"/>
  <c r="G49" i="88"/>
  <c r="G66" i="78"/>
  <c r="H96" i="85"/>
  <c r="K108" i="32"/>
  <c r="K106" i="31"/>
  <c r="I99" i="41"/>
  <c r="F93" i="46"/>
  <c r="M80" i="88"/>
  <c r="H108" i="67"/>
  <c r="E4" i="37"/>
  <c r="H80" i="28"/>
  <c r="G72" i="30"/>
  <c r="J72" i="38"/>
  <c r="J70" i="37"/>
  <c r="I75" i="73"/>
  <c r="L43" i="28"/>
  <c r="D96" i="68"/>
  <c r="L69" i="51"/>
  <c r="S28" i="96"/>
  <c r="O36" i="88"/>
  <c r="K108" i="71"/>
  <c r="K11" i="31"/>
  <c r="D58" i="88"/>
  <c r="N84" i="29"/>
  <c r="N82" i="28"/>
  <c r="F51" i="31"/>
  <c r="L84" i="67"/>
  <c r="N71" i="37"/>
  <c r="K78" i="67"/>
  <c r="H38" i="88"/>
  <c r="O66" i="30"/>
  <c r="H96" i="56"/>
  <c r="D102" i="54"/>
  <c r="I90" i="92"/>
  <c r="I63" i="57"/>
  <c r="L78" i="74"/>
  <c r="J31" i="28"/>
  <c r="D81" i="59"/>
  <c r="M4" i="37"/>
  <c r="K105" i="75"/>
  <c r="F69" i="73"/>
  <c r="M99" i="59"/>
  <c r="L90" i="39"/>
  <c r="G52" i="88"/>
  <c r="F99" i="64"/>
  <c r="K96" i="49"/>
  <c r="I99" i="32"/>
  <c r="I97" i="31"/>
  <c r="K81" i="25"/>
  <c r="M9" i="31"/>
  <c r="D96" i="43"/>
  <c r="CI88" i="3"/>
  <c r="CX29"/>
  <c r="L93" i="56"/>
  <c r="F84"/>
  <c r="D69" i="47"/>
  <c r="L48" i="88"/>
  <c r="H96" i="34"/>
  <c r="J78" i="27"/>
  <c r="CH116" i="3"/>
  <c r="CW37"/>
  <c r="G81" i="53"/>
  <c r="E72" i="73"/>
  <c r="E87" i="67"/>
  <c r="I93" i="33"/>
  <c r="E72" i="44"/>
  <c r="N105" i="78"/>
  <c r="D90" i="39"/>
  <c r="G96" i="65"/>
  <c r="N81" i="87"/>
  <c r="N66" i="59"/>
  <c r="J69" i="76"/>
  <c r="O90" i="73"/>
  <c r="F87" i="66"/>
  <c r="O90" i="76"/>
  <c r="I24" i="88"/>
  <c r="N108" i="83"/>
  <c r="N66" i="94"/>
  <c r="DI27" i="3"/>
  <c r="CV38"/>
  <c r="DI26" s="1"/>
  <c r="F81" i="36"/>
  <c r="E69" i="35"/>
  <c r="M63" i="61"/>
  <c r="L83" i="31"/>
  <c r="H93" i="63"/>
  <c r="K89" i="88"/>
  <c r="H87" i="27"/>
  <c r="K50" i="37"/>
  <c r="F19" i="31"/>
  <c r="N93" i="32"/>
  <c r="N91" i="31"/>
  <c r="H54" i="28"/>
  <c r="I96" i="27"/>
  <c r="D42" i="37"/>
  <c r="M26" i="31"/>
  <c r="J18" i="88"/>
  <c r="N108" i="46"/>
  <c r="E105" i="42"/>
  <c r="G83" i="31"/>
  <c r="E87" i="59"/>
  <c r="F75" i="55"/>
  <c r="J75" i="65"/>
  <c r="J72" i="90"/>
  <c r="J72" i="61"/>
  <c r="CL87" i="3"/>
  <c r="CL113"/>
  <c r="L87" i="33"/>
  <c r="E69" i="70"/>
  <c r="K102" i="49"/>
  <c r="O63" i="84"/>
  <c r="F20" i="31"/>
  <c r="J93" i="56"/>
  <c r="E102" i="87"/>
  <c r="H93" i="76"/>
  <c r="O79" i="31"/>
  <c r="O81" i="32"/>
  <c r="D72" i="36"/>
  <c r="G72" i="94"/>
  <c r="H90" i="57"/>
  <c r="I52" i="31"/>
  <c r="E104"/>
  <c r="L84" i="78"/>
  <c r="M41" i="31"/>
  <c r="L63" i="81"/>
  <c r="F78" i="86"/>
  <c r="M87" i="19"/>
  <c r="N96" i="71"/>
  <c r="L72" i="61"/>
  <c r="O55" i="31"/>
  <c r="L63" i="72"/>
  <c r="G108" i="58"/>
  <c r="F69" i="51"/>
  <c r="F34" i="31"/>
  <c r="O84" i="39"/>
  <c r="M102" i="56"/>
  <c r="E107" i="31"/>
  <c r="H37" i="88"/>
  <c r="M72" i="59"/>
  <c r="G46" i="31"/>
  <c r="H69" i="84"/>
  <c r="L63" i="91"/>
  <c r="H37" i="37"/>
  <c r="F108" i="73"/>
  <c r="F73" i="88"/>
  <c r="F75" i="89"/>
  <c r="D75" i="42"/>
  <c r="I11" i="28"/>
  <c r="K108" i="69"/>
  <c r="F68" i="37"/>
  <c r="E78" i="43"/>
  <c r="K99" i="46"/>
  <c r="M75" i="94"/>
  <c r="G78" i="55"/>
  <c r="D108" i="64"/>
  <c r="F78" i="46"/>
  <c r="K96" i="64"/>
  <c r="L69" i="44"/>
  <c r="J93" i="58"/>
  <c r="E81" i="41"/>
  <c r="F71" i="31"/>
  <c r="O12" i="88"/>
  <c r="E108" i="89"/>
  <c r="E106" i="88"/>
  <c r="F69" i="91"/>
  <c r="E96" i="78"/>
  <c r="I84" i="46"/>
  <c r="K102" i="56"/>
  <c r="H75" i="57"/>
  <c r="M102" i="70"/>
  <c r="L93" i="81"/>
  <c r="I84" i="76"/>
  <c r="J41" i="28"/>
  <c r="K63" i="84"/>
  <c r="I105" i="47"/>
  <c r="G102" i="61"/>
  <c r="H90" i="63"/>
  <c r="F72" i="81"/>
  <c r="H84" i="77"/>
  <c r="G81" i="78"/>
  <c r="J89" i="88"/>
  <c r="I99" i="90"/>
  <c r="F63" i="47"/>
  <c r="J69" i="45"/>
  <c r="K72" i="64"/>
  <c r="I54" i="37"/>
  <c r="F102" i="34"/>
  <c r="F15" i="96"/>
  <c r="O63" i="69"/>
  <c r="E75" i="33"/>
  <c r="H90" i="84"/>
  <c r="K69" i="46"/>
  <c r="N87" i="26"/>
  <c r="M65" i="28"/>
  <c r="H69" i="78"/>
  <c r="K69" i="92"/>
  <c r="H72" i="74"/>
  <c r="H75" i="33"/>
  <c r="F90" i="85"/>
  <c r="M18" i="28"/>
  <c r="G102" i="26"/>
  <c r="G93" i="94"/>
  <c r="H96" i="47"/>
  <c r="D96" i="70"/>
  <c r="E89" i="37"/>
  <c r="D41" i="22"/>
  <c r="K63" i="63"/>
  <c r="I81" i="45"/>
  <c r="O108" i="81"/>
  <c r="N90" i="87"/>
  <c r="J105" i="94"/>
  <c r="H56" i="88"/>
  <c r="I108" i="87"/>
  <c r="N69" i="91"/>
  <c r="E90" i="45"/>
  <c r="L107" i="31"/>
  <c r="M30" i="37"/>
  <c r="F105" i="61"/>
  <c r="F105" i="57"/>
  <c r="D93" i="60"/>
  <c r="O37" i="88"/>
  <c r="F63" i="93"/>
  <c r="N63" i="57"/>
  <c r="D96" i="76"/>
  <c r="L63" i="92"/>
  <c r="H99" i="93"/>
  <c r="O23" i="31"/>
  <c r="G96" i="46"/>
  <c r="L87"/>
  <c r="K105" i="80"/>
  <c r="N96" i="78"/>
  <c r="N69" i="65"/>
  <c r="J79" i="28"/>
  <c r="J81" i="29"/>
  <c r="N71" i="88"/>
  <c r="I22" i="28"/>
  <c r="H72" i="40"/>
  <c r="F96" i="85"/>
  <c r="O46" i="88"/>
  <c r="J31" i="37"/>
  <c r="D21" i="31"/>
  <c r="L72" i="34"/>
  <c r="N87" i="39"/>
  <c r="N75" i="69"/>
  <c r="J4" i="28"/>
  <c r="M83" i="88"/>
  <c r="I86" i="31"/>
  <c r="J102" i="90"/>
  <c r="H75" i="59"/>
  <c r="E83" i="28"/>
  <c r="J80" i="31"/>
  <c r="M89"/>
  <c r="G108" i="48"/>
  <c r="O90" i="91"/>
  <c r="E5" i="37"/>
  <c r="G78" i="78"/>
  <c r="D61" i="31"/>
  <c r="D63" i="32"/>
  <c r="N108" i="70"/>
  <c r="I75" i="54"/>
  <c r="D27" i="31"/>
  <c r="O86" i="37"/>
  <c r="N90" i="32"/>
  <c r="N88" i="31"/>
  <c r="O99" i="39"/>
  <c r="O102" i="48"/>
  <c r="J81" i="78"/>
  <c r="N87" i="92"/>
  <c r="G93" i="66"/>
  <c r="E90" i="93"/>
  <c r="E90" i="76"/>
  <c r="J90" i="51"/>
  <c r="M78" i="44"/>
  <c r="I105" i="66"/>
  <c r="K46" i="31"/>
  <c r="N99" i="70"/>
  <c r="O69" i="71"/>
  <c r="G69" i="44"/>
  <c r="J75" i="43"/>
  <c r="K95" i="28"/>
  <c r="G69" i="59"/>
  <c r="H78" i="57"/>
  <c r="D83" i="31"/>
  <c r="M27" i="88"/>
  <c r="J69" i="35"/>
  <c r="M87" i="56"/>
  <c r="J102" i="43"/>
  <c r="G12" i="88"/>
  <c r="N32"/>
  <c r="D75" i="26"/>
  <c r="G90" i="82"/>
  <c r="F99" i="74"/>
  <c r="F90" i="71"/>
  <c r="L97" i="88"/>
  <c r="L99" i="89"/>
  <c r="J66" i="82"/>
  <c r="J69" i="86"/>
  <c r="E93" i="49"/>
  <c r="L34" i="31"/>
  <c r="F40" i="28"/>
  <c r="G81" i="57"/>
  <c r="N87" i="77"/>
  <c r="M75" i="78"/>
  <c r="H25" i="88"/>
  <c r="H76"/>
  <c r="H78" i="89"/>
  <c r="O75" i="94"/>
  <c r="G78" i="34"/>
  <c r="D84" i="83"/>
  <c r="N65" i="37"/>
  <c r="G108" i="30"/>
  <c r="H42" i="28"/>
  <c r="CK122" i="3"/>
  <c r="J90" i="40"/>
  <c r="M63" i="78"/>
  <c r="K55" i="37"/>
  <c r="N87" i="59"/>
  <c r="N16" i="88"/>
  <c r="N96" i="83"/>
  <c r="M105" i="61"/>
  <c r="O96" i="40"/>
  <c r="K12" i="31"/>
  <c r="N78" i="25"/>
  <c r="L31" i="31"/>
  <c r="N93" i="39"/>
  <c r="F96" i="53"/>
  <c r="O81" i="74"/>
  <c r="J84" i="30"/>
  <c r="L72" i="35"/>
  <c r="BO65" i="3"/>
  <c r="G84" i="19"/>
  <c r="K108" i="45"/>
  <c r="I63" i="39"/>
  <c r="E93" i="92"/>
  <c r="G93" i="29"/>
  <c r="G91" i="28"/>
  <c r="M87" i="90"/>
  <c r="F99" i="19"/>
  <c r="J72" i="82"/>
  <c r="D69" i="46"/>
  <c r="F69" i="70"/>
  <c r="D93" i="67"/>
  <c r="N93" i="30"/>
  <c r="K81" i="87"/>
  <c r="L75" i="92"/>
  <c r="E80" i="28"/>
  <c r="I72" i="27"/>
  <c r="F37" i="31"/>
  <c r="L78" i="72"/>
  <c r="F71" i="28"/>
  <c r="I65" i="88"/>
  <c r="O81" i="94"/>
  <c r="F7" i="22"/>
  <c r="E7"/>
  <c r="D8"/>
  <c r="N75" i="94"/>
  <c r="L93" i="72"/>
  <c r="E17" i="31"/>
  <c r="H63" i="49"/>
  <c r="G104" i="31"/>
  <c r="D96" i="79"/>
  <c r="N84" i="19"/>
  <c r="M68" i="88"/>
  <c r="I78" i="91"/>
  <c r="O10" i="88"/>
  <c r="L107" i="28"/>
  <c r="M87" i="86"/>
  <c r="L84" i="89"/>
  <c r="L82" i="88"/>
  <c r="L77" i="37"/>
  <c r="D93" i="54"/>
  <c r="G58" i="28"/>
  <c r="J108" i="47"/>
  <c r="F75" i="87"/>
  <c r="F75" i="77"/>
  <c r="F24" i="28"/>
  <c r="L75" i="26"/>
  <c r="I96" i="64"/>
  <c r="L87" i="76"/>
  <c r="L69" i="32"/>
  <c r="L67" i="31"/>
  <c r="M87" i="36"/>
  <c r="K66"/>
  <c r="M105" i="40"/>
  <c r="N63" i="53"/>
  <c r="H102" i="84"/>
  <c r="L102" i="67"/>
  <c r="D87" i="73"/>
  <c r="J50" i="28"/>
  <c r="D81" i="93"/>
  <c r="I6" i="37"/>
  <c r="I66" i="56"/>
  <c r="O93" i="41"/>
  <c r="D99" i="48"/>
  <c r="H81" i="43"/>
  <c r="J46" i="37"/>
  <c r="J66" i="57"/>
  <c r="N25" i="31"/>
  <c r="F83"/>
  <c r="D81" i="58"/>
  <c r="D63" i="33"/>
  <c r="G38" i="88"/>
  <c r="F29"/>
  <c r="D90" i="85"/>
  <c r="H93" i="84"/>
  <c r="J63" i="91"/>
  <c r="G75" i="61"/>
  <c r="D105" i="57"/>
  <c r="K84" i="72"/>
  <c r="H87" i="75"/>
  <c r="L63"/>
  <c r="D105" i="81"/>
  <c r="M63" i="69"/>
  <c r="I75" i="30"/>
  <c r="J78" i="46"/>
  <c r="D102" i="63"/>
  <c r="G90" i="49"/>
  <c r="J96" i="46"/>
  <c r="O87" i="86"/>
  <c r="J75" i="36"/>
  <c r="F66" i="61"/>
  <c r="K84" i="43"/>
  <c r="E105" i="80"/>
  <c r="J29" i="37"/>
  <c r="E108" i="85"/>
  <c r="K78" i="66"/>
  <c r="O93" i="93"/>
  <c r="F102" i="60"/>
  <c r="E33" i="37"/>
  <c r="F24" i="88"/>
  <c r="D78" i="25"/>
  <c r="L87" i="90"/>
  <c r="O39" i="28"/>
  <c r="K84" i="45"/>
  <c r="D66" i="51"/>
  <c r="E81" i="27"/>
  <c r="N72" i="34"/>
  <c r="J63" i="51"/>
  <c r="L102" i="49"/>
  <c r="D108" i="74"/>
  <c r="G93"/>
  <c r="O99" i="64"/>
  <c r="F17" i="88"/>
  <c r="O69" i="49"/>
  <c r="I102" i="55"/>
  <c r="N73" i="28"/>
  <c r="N75" i="29"/>
  <c r="M32" i="28"/>
  <c r="L11" i="37"/>
  <c r="K105" i="61"/>
  <c r="L30" i="31"/>
  <c r="O66" i="65"/>
  <c r="N24" i="88"/>
  <c r="F69" i="26"/>
  <c r="E36" i="88"/>
  <c r="J22"/>
  <c r="D72" i="81"/>
  <c r="H108" i="46"/>
  <c r="G87" i="40"/>
  <c r="D78" i="94"/>
  <c r="F65" i="28"/>
  <c r="M99" i="84"/>
  <c r="H90" i="50"/>
  <c r="O32" i="88"/>
  <c r="E48" i="37"/>
  <c r="L69" i="38"/>
  <c r="L67" i="37"/>
  <c r="I84" i="62"/>
  <c r="I104" i="37"/>
  <c r="N87" i="33"/>
  <c r="J108" i="44"/>
  <c r="E81" i="52"/>
  <c r="F105" i="42"/>
  <c r="E81" i="65"/>
  <c r="E69" i="44"/>
  <c r="K99" i="45"/>
  <c r="I81" i="42"/>
  <c r="J76" i="31"/>
  <c r="J78" i="32"/>
  <c r="G63" i="44"/>
  <c r="L90" i="49"/>
  <c r="E99" i="57"/>
  <c r="K13" i="28"/>
  <c r="K99" i="83"/>
  <c r="M90" i="38"/>
  <c r="M88" i="37"/>
  <c r="H91"/>
  <c r="H93" i="38"/>
  <c r="O75" i="64"/>
  <c r="F105" i="93"/>
  <c r="K78" i="76"/>
  <c r="L68" i="28"/>
  <c r="G63" i="75"/>
  <c r="J78" i="47"/>
  <c r="O90" i="66"/>
  <c r="M66" i="63"/>
  <c r="N81" i="61"/>
  <c r="L96" i="76"/>
  <c r="M31" i="88"/>
  <c r="F66" i="40"/>
  <c r="I99" i="74"/>
  <c r="G90" i="60"/>
  <c r="H84" i="54"/>
  <c r="I63" i="32"/>
  <c r="I61" i="31"/>
  <c r="G101" i="88"/>
  <c r="O93" i="82"/>
  <c r="L75" i="49"/>
  <c r="G102" i="34"/>
  <c r="E99" i="66"/>
  <c r="I75" i="51"/>
  <c r="O59" i="28"/>
  <c r="F37" i="37"/>
  <c r="F93" i="90"/>
  <c r="N108" i="45"/>
  <c r="I87" i="66"/>
  <c r="N66" i="43"/>
  <c r="K108" i="92"/>
  <c r="M108" i="89"/>
  <c r="M106" i="88"/>
  <c r="O52" i="37"/>
  <c r="H105" i="56"/>
  <c r="F69" i="44"/>
  <c r="I44" i="37"/>
  <c r="CB124" i="3"/>
  <c r="N84" i="40"/>
  <c r="J75" i="90"/>
  <c r="G11" i="28"/>
  <c r="I63" i="42"/>
  <c r="M69" i="81"/>
  <c r="D78" i="34"/>
  <c r="G90" i="59"/>
  <c r="K36" i="37"/>
  <c r="K72" i="41"/>
  <c r="I69" i="52"/>
  <c r="L98" i="28"/>
  <c r="H108" i="34"/>
  <c r="N98" i="88"/>
  <c r="G72" i="81"/>
  <c r="L105" i="76"/>
  <c r="I9" i="28"/>
  <c r="D90" i="55"/>
  <c r="I90" i="66"/>
  <c r="F66" i="62"/>
  <c r="K66" i="55"/>
  <c r="I63" i="84"/>
  <c r="N15" i="37"/>
  <c r="K102" i="87"/>
  <c r="N93" i="65"/>
  <c r="F78" i="27"/>
  <c r="L102"/>
  <c r="G69" i="78"/>
  <c r="K21" i="88"/>
  <c r="H66" i="39"/>
  <c r="M66" i="27"/>
  <c r="N11" i="37"/>
  <c r="E84" i="84"/>
  <c r="L105" i="80"/>
  <c r="K27" i="37"/>
  <c r="G74" i="31"/>
  <c r="G96" i="76"/>
  <c r="G94" i="37"/>
  <c r="G96" i="38"/>
  <c r="L4" i="37"/>
  <c r="D63" i="80"/>
  <c r="E81" i="51"/>
  <c r="M93" i="86"/>
  <c r="K36" i="28"/>
  <c r="O48" i="37"/>
  <c r="H66" i="35"/>
  <c r="K96" i="72"/>
  <c r="M108" i="94"/>
  <c r="K72" i="34"/>
  <c r="D66" i="94"/>
  <c r="F63" i="26"/>
  <c r="H81" i="61"/>
  <c r="G108" i="71"/>
  <c r="G63" i="86"/>
  <c r="J45" i="88"/>
  <c r="I41" i="37"/>
  <c r="G86" i="88"/>
  <c r="K42" i="31"/>
  <c r="G82" i="88"/>
  <c r="G84" i="89"/>
  <c r="H63" i="40"/>
  <c r="I42" i="31"/>
  <c r="M96" i="78"/>
  <c r="J105" i="76"/>
  <c r="E72" i="33"/>
  <c r="E66" i="62"/>
  <c r="I69" i="49"/>
  <c r="H69" i="39"/>
  <c r="M29" i="22"/>
  <c r="N29"/>
  <c r="I87" i="51"/>
  <c r="M78" i="66"/>
  <c r="M90" i="35"/>
  <c r="E102" i="41"/>
  <c r="L78" i="62"/>
  <c r="D96" i="26"/>
  <c r="M102" i="61"/>
  <c r="E78" i="55"/>
  <c r="J78" i="33"/>
  <c r="E84" i="73"/>
  <c r="H68" i="88"/>
  <c r="D47" i="28"/>
  <c r="J105" i="80"/>
  <c r="E90" i="59"/>
  <c r="I96" i="25"/>
  <c r="N99" i="34"/>
  <c r="G54" i="28"/>
  <c r="H108" i="36"/>
  <c r="H102" i="44"/>
  <c r="O69" i="56"/>
  <c r="O81" i="61"/>
  <c r="D81" i="80"/>
  <c r="M72" i="46"/>
  <c r="K90" i="36"/>
  <c r="O84" i="57"/>
  <c r="J84" i="82"/>
  <c r="D108" i="52"/>
  <c r="G102" i="57"/>
  <c r="M84" i="66"/>
  <c r="E102" i="50"/>
  <c r="K102" i="81"/>
  <c r="J84" i="44"/>
  <c r="D66" i="82"/>
  <c r="D84" i="33"/>
  <c r="D105" i="94"/>
  <c r="K21" i="28"/>
  <c r="I93" i="49"/>
  <c r="E25" i="31"/>
  <c r="H87" i="67"/>
  <c r="D12" i="97"/>
  <c r="E12" s="1"/>
  <c r="E108" i="39"/>
  <c r="CL86" i="3"/>
  <c r="DA28"/>
  <c r="K75" i="27"/>
  <c r="K78" i="36"/>
  <c r="J72" i="75"/>
  <c r="D31" i="37"/>
  <c r="D108" i="85"/>
  <c r="I78" i="33"/>
  <c r="E96" i="46"/>
  <c r="K87" i="94"/>
  <c r="F32" i="37"/>
  <c r="E72" i="64"/>
  <c r="N15" i="88"/>
  <c r="J84" i="36"/>
  <c r="D62" i="88"/>
  <c r="F90" i="53"/>
  <c r="N102" i="33"/>
  <c r="J11" i="28"/>
  <c r="L75" i="78"/>
  <c r="K99" i="75"/>
  <c r="F90" i="64"/>
  <c r="G84" i="84"/>
  <c r="H10" i="88"/>
  <c r="M66" i="72"/>
  <c r="O96" i="78"/>
  <c r="L57" i="37"/>
  <c r="H90" i="82"/>
  <c r="N93" i="33"/>
  <c r="K68" i="88"/>
  <c r="M63" i="92"/>
  <c r="M69" i="66"/>
  <c r="M102" i="91"/>
  <c r="M72" i="44"/>
  <c r="I108" i="61"/>
  <c r="K102" i="40"/>
  <c r="O84" i="92"/>
  <c r="E105" i="71"/>
  <c r="D69" i="55"/>
  <c r="I63" i="50"/>
  <c r="E102" i="51"/>
  <c r="E69" i="91"/>
  <c r="G87" i="50"/>
  <c r="D108" i="59"/>
  <c r="L45" i="88"/>
  <c r="L96" i="41"/>
  <c r="J105" i="27"/>
  <c r="M93" i="48"/>
  <c r="M108" i="73"/>
  <c r="G87" i="65"/>
  <c r="L102" i="86"/>
  <c r="D108" i="41"/>
  <c r="O90" i="82"/>
  <c r="M72" i="69"/>
  <c r="M78" i="38"/>
  <c r="M76" i="37"/>
  <c r="L84" i="93"/>
  <c r="H10" i="31"/>
  <c r="E75" i="92"/>
  <c r="I69"/>
  <c r="K90" i="61"/>
  <c r="M90" i="63"/>
  <c r="O18" i="37"/>
  <c r="F90" i="61"/>
  <c r="H75" i="39"/>
  <c r="G75" i="72"/>
  <c r="I87" i="76"/>
  <c r="N69" i="70"/>
  <c r="L81" i="77"/>
  <c r="L72" i="89"/>
  <c r="L70" i="88"/>
  <c r="H108" i="69"/>
  <c r="H92" i="88"/>
  <c r="L46"/>
  <c r="N84" i="56"/>
  <c r="I66" i="47"/>
  <c r="L69" i="84"/>
  <c r="C39" i="22"/>
  <c r="H69" i="43"/>
  <c r="J84" i="33"/>
  <c r="I88" i="37"/>
  <c r="I90" i="38"/>
  <c r="O81" i="84"/>
  <c r="L72" i="77"/>
  <c r="N72" i="51"/>
  <c r="E98" i="31"/>
  <c r="D108" i="56"/>
  <c r="K63" i="59"/>
  <c r="K93" i="86"/>
  <c r="J63" i="56"/>
  <c r="L55" i="31"/>
  <c r="N96" i="49"/>
  <c r="K108" i="47"/>
  <c r="H66" i="51"/>
  <c r="K66" i="69"/>
  <c r="J72" i="34"/>
  <c r="N75" i="45"/>
  <c r="J12" i="96"/>
  <c r="K44" i="88"/>
  <c r="I66" i="93"/>
  <c r="CI118" i="3"/>
  <c r="I86" i="37"/>
  <c r="G84" i="46"/>
  <c r="D90" i="81"/>
  <c r="G83" i="28"/>
  <c r="E108" i="83"/>
  <c r="D86" i="28"/>
  <c r="D93" i="76"/>
  <c r="G81" i="66"/>
  <c r="D107" i="88"/>
  <c r="N92" i="28"/>
  <c r="F102" i="87"/>
  <c r="G84" i="92"/>
  <c r="M47" i="31"/>
  <c r="M78" i="40"/>
  <c r="I84" i="49"/>
  <c r="K105" i="35"/>
  <c r="L78" i="63"/>
  <c r="O87" i="27"/>
  <c r="H69" i="26"/>
  <c r="J87" i="64"/>
  <c r="E12" i="28"/>
  <c r="K32"/>
  <c r="D99" i="60"/>
  <c r="M63" i="56"/>
  <c r="H90" i="61"/>
  <c r="O81" i="39"/>
  <c r="K72" i="55"/>
  <c r="G108" i="80"/>
  <c r="D72" i="60"/>
  <c r="G72" i="57"/>
  <c r="J105" i="93"/>
  <c r="H84" i="56"/>
  <c r="J78" i="63"/>
  <c r="D81" i="68"/>
  <c r="E108" i="71"/>
  <c r="H96" i="57"/>
  <c r="I75" i="19"/>
  <c r="O57" i="28"/>
  <c r="O105" i="48"/>
  <c r="J84" i="64"/>
  <c r="D84" i="50"/>
  <c r="K87" i="45"/>
  <c r="K87" i="46"/>
  <c r="G96" i="62"/>
  <c r="M87" i="46"/>
  <c r="H102" i="87"/>
  <c r="K78" i="62"/>
  <c r="H72" i="48"/>
  <c r="G96" i="71"/>
  <c r="F5" i="101"/>
  <c r="D9" i="97"/>
  <c r="E9" s="1"/>
  <c r="F6" i="101" s="1"/>
  <c r="I93" i="19"/>
  <c r="G66" i="86"/>
  <c r="K9" i="37"/>
  <c r="N27" i="88"/>
  <c r="M50" i="28"/>
  <c r="F81" i="46"/>
  <c r="I75" i="48"/>
  <c r="O102" i="82"/>
  <c r="L63" i="70"/>
  <c r="G81" i="46"/>
  <c r="D90" i="34"/>
  <c r="M102" i="83"/>
  <c r="G105" i="74"/>
  <c r="O104" i="88"/>
  <c r="L66" i="35"/>
  <c r="N75" i="64"/>
  <c r="I75" i="47"/>
  <c r="J99" i="56"/>
  <c r="M78" i="32"/>
  <c r="M76" i="31"/>
  <c r="L66" i="78"/>
  <c r="K90" i="90"/>
  <c r="E69" i="80"/>
  <c r="O56" i="37"/>
  <c r="D9"/>
  <c r="L35" i="88"/>
  <c r="F67"/>
  <c r="F69" i="89"/>
  <c r="E72" i="55"/>
  <c r="D96" i="46"/>
  <c r="N11" i="31"/>
  <c r="D66" i="60"/>
  <c r="M78" i="49"/>
  <c r="O63" i="26"/>
  <c r="I63" i="71"/>
  <c r="F93" i="67"/>
  <c r="M102" i="73"/>
  <c r="F90" i="56"/>
  <c r="F87" i="87"/>
  <c r="F108" i="91"/>
  <c r="N78" i="92"/>
  <c r="H78" i="39"/>
  <c r="M93" i="56"/>
  <c r="H69" i="51"/>
  <c r="L62" i="88"/>
  <c r="G87" i="89"/>
  <c r="G85" i="88"/>
  <c r="G87" s="1"/>
  <c r="L90" i="45"/>
  <c r="L84" i="65"/>
  <c r="L81" i="34"/>
  <c r="I87" i="72"/>
  <c r="K93" i="27"/>
  <c r="F69" i="67"/>
  <c r="N102" i="81"/>
  <c r="K78" i="30"/>
  <c r="L63" i="73"/>
  <c r="H108" i="91"/>
  <c r="L35" i="31"/>
  <c r="G99" i="84"/>
  <c r="H69" i="47"/>
  <c r="J81" i="51"/>
  <c r="O66" i="33"/>
  <c r="J81" i="66"/>
  <c r="O66" i="75"/>
  <c r="K56" i="31"/>
  <c r="N36"/>
  <c r="F105" i="46"/>
  <c r="G66" i="40"/>
  <c r="I72" i="72"/>
  <c r="K105" i="54"/>
  <c r="F30" i="31"/>
  <c r="K81" i="62"/>
  <c r="F87" i="26"/>
  <c r="J104" i="88"/>
  <c r="O33" i="37"/>
  <c r="E76"/>
  <c r="E78" i="38"/>
  <c r="J99" i="81"/>
  <c r="M80" i="37"/>
  <c r="F78" i="47"/>
  <c r="O87" i="61"/>
  <c r="M72" i="78"/>
  <c r="E87" i="82"/>
  <c r="I81" i="52"/>
  <c r="H5" i="37"/>
  <c r="N84" i="51"/>
  <c r="F63" i="79"/>
  <c r="O72" i="26"/>
  <c r="D105" i="47"/>
  <c r="H24" i="31"/>
  <c r="E102" i="38"/>
  <c r="E100" i="37"/>
  <c r="D105" i="34"/>
  <c r="K78" i="46"/>
  <c r="M106" i="31"/>
  <c r="M108" i="32"/>
  <c r="H92" i="31"/>
  <c r="M96" i="66"/>
  <c r="J56" i="28"/>
  <c r="I84" i="57"/>
  <c r="L105" i="68"/>
  <c r="D62" i="31"/>
  <c r="J90" i="27"/>
  <c r="E10" i="88"/>
  <c r="H58" i="31"/>
  <c r="K66" i="70"/>
  <c r="K93" i="44"/>
  <c r="I51" i="31"/>
  <c r="K42" i="37"/>
  <c r="F99" i="43"/>
  <c r="D33" i="31"/>
  <c r="D78" i="63"/>
  <c r="G84" i="87"/>
  <c r="N87" i="78"/>
  <c r="J17" i="37"/>
  <c r="F4"/>
  <c r="H99" i="34"/>
  <c r="G72" i="40"/>
  <c r="K87" i="54"/>
  <c r="F61" i="28"/>
  <c r="F63" i="29"/>
  <c r="E96" i="48"/>
  <c r="M26" i="88"/>
  <c r="F80" i="28"/>
  <c r="D57"/>
  <c r="F96" i="55"/>
  <c r="K69" i="93"/>
  <c r="L69" i="39"/>
  <c r="H75" i="76"/>
  <c r="F66" i="73"/>
  <c r="J78" i="56"/>
  <c r="M19" i="28"/>
  <c r="F105" i="27"/>
  <c r="H66" i="49"/>
  <c r="F90" i="90"/>
  <c r="D72" i="47"/>
  <c r="G7" i="28"/>
  <c r="K96" i="45"/>
  <c r="H16" i="88"/>
  <c r="L59" i="28"/>
  <c r="O81" i="62"/>
  <c r="I93" i="63"/>
  <c r="J99" i="91"/>
  <c r="I14" i="28"/>
  <c r="F103" i="88"/>
  <c r="F105" i="89"/>
  <c r="J102" i="65"/>
  <c r="F96" i="87"/>
  <c r="J81" i="58"/>
  <c r="L50" i="88"/>
  <c r="L81" i="74"/>
  <c r="G102" i="93"/>
  <c r="J81" i="39"/>
  <c r="H57" i="37"/>
  <c r="E78" i="54"/>
  <c r="N46" i="37"/>
  <c r="K78" i="29"/>
  <c r="K76" i="28"/>
  <c r="E12" i="37"/>
  <c r="G99" i="50"/>
  <c r="M93" i="92"/>
  <c r="O96" i="61"/>
  <c r="F99" i="62"/>
  <c r="K81" i="46"/>
  <c r="D93" i="71"/>
  <c r="D108" i="69"/>
  <c r="M75" i="66"/>
  <c r="D40" i="31"/>
  <c r="J33" i="28"/>
  <c r="I4" i="37"/>
  <c r="J90" i="53"/>
  <c r="D87" i="94"/>
  <c r="N66" i="44"/>
  <c r="M51" i="31"/>
  <c r="I63" i="83"/>
  <c r="H46" i="37"/>
  <c r="I63" i="60"/>
  <c r="N96" i="63"/>
  <c r="F90"/>
  <c r="F11" i="28"/>
  <c r="E99" i="90"/>
  <c r="D78" i="30"/>
  <c r="K69" i="68"/>
  <c r="O75" i="84"/>
  <c r="M99" i="35"/>
  <c r="N63" i="48"/>
  <c r="J93" i="59"/>
  <c r="G66" i="53"/>
  <c r="I101" i="31"/>
  <c r="F72" i="66"/>
  <c r="J96" i="91"/>
  <c r="D81" i="27"/>
  <c r="O96" i="46"/>
  <c r="J93" i="53"/>
  <c r="G102" i="62"/>
  <c r="F78" i="93"/>
  <c r="D101" i="31"/>
  <c r="F75" i="60"/>
  <c r="G81" i="84"/>
  <c r="M52" i="28"/>
  <c r="J69" i="27"/>
  <c r="K87"/>
  <c r="H83" i="37"/>
  <c r="I69" i="26"/>
  <c r="D89" i="37"/>
  <c r="I84" i="70"/>
  <c r="H48" i="31"/>
  <c r="I90" i="67"/>
  <c r="O78" i="58"/>
  <c r="O33" i="28"/>
  <c r="H75" i="85"/>
  <c r="K72" i="36"/>
  <c r="O96" i="57"/>
  <c r="N81" i="36"/>
  <c r="CK123" i="3"/>
  <c r="CZ53"/>
  <c r="L90" i="44"/>
  <c r="I96" i="67"/>
  <c r="N87" i="87"/>
  <c r="F78" i="44"/>
  <c r="M75" i="38"/>
  <c r="M73" i="37"/>
  <c r="L89" i="88"/>
  <c r="D93" i="89"/>
  <c r="D91" i="88"/>
  <c r="K81" i="90"/>
  <c r="K102" i="33"/>
  <c r="I69" i="91"/>
  <c r="L84" i="46"/>
  <c r="H69" i="72"/>
  <c r="D56" i="28"/>
  <c r="M72" i="57"/>
  <c r="E75" i="90"/>
  <c r="H84" i="75"/>
  <c r="E66" i="36"/>
  <c r="K88" i="28"/>
  <c r="K90" i="29"/>
  <c r="N102" i="59"/>
  <c r="E33" i="28"/>
  <c r="D93" i="68"/>
  <c r="L22" i="28"/>
  <c r="H22" i="88"/>
  <c r="M99" i="34"/>
  <c r="G84" i="45"/>
  <c r="E99" i="86"/>
  <c r="L108" i="39"/>
  <c r="F72" i="48"/>
  <c r="O23" i="37"/>
  <c r="L96" i="44"/>
  <c r="E11" i="31"/>
  <c r="F87" i="54"/>
  <c r="N105" i="92"/>
  <c r="N9" i="28"/>
  <c r="I84" i="39"/>
  <c r="H69" i="65"/>
  <c r="K75" i="54"/>
  <c r="J69" i="81"/>
  <c r="K105" i="68"/>
  <c r="L108" i="46"/>
  <c r="J75" i="54"/>
  <c r="F10" i="31"/>
  <c r="D89"/>
  <c r="J75" i="58"/>
  <c r="O99" i="36"/>
  <c r="O66" i="55"/>
  <c r="J63" i="64"/>
  <c r="L19" i="37"/>
  <c r="J105" i="67"/>
  <c r="H87" i="30"/>
  <c r="K78" i="27"/>
  <c r="I56" i="31"/>
  <c r="D66" i="64"/>
  <c r="H78" i="70"/>
  <c r="N75" i="59"/>
  <c r="G72" i="73"/>
  <c r="J87" i="67"/>
  <c r="J105" i="61"/>
  <c r="G37" i="37"/>
  <c r="J84" i="89"/>
  <c r="J82" i="88"/>
  <c r="L98"/>
  <c r="H99" i="71"/>
  <c r="I84" i="79"/>
  <c r="E66" i="72"/>
  <c r="K90" i="32"/>
  <c r="K88" i="31"/>
  <c r="H105" i="45"/>
  <c r="E81" i="86"/>
  <c r="G22" i="31"/>
  <c r="N69" i="27"/>
  <c r="N99"/>
  <c r="L96" i="90"/>
  <c r="L11" i="28"/>
  <c r="G78" i="80"/>
  <c r="E75" i="44"/>
  <c r="E105" i="84"/>
  <c r="I99" i="58"/>
  <c r="D84" i="94"/>
  <c r="E90" i="36"/>
  <c r="F93" i="35"/>
  <c r="K93" i="25"/>
  <c r="K15" i="28"/>
  <c r="K81" i="93"/>
  <c r="K29" i="88"/>
  <c r="F69" i="43"/>
  <c r="E93" i="79"/>
  <c r="K84" i="76"/>
  <c r="E93" i="84"/>
  <c r="I63" i="70"/>
  <c r="G19" i="37"/>
  <c r="N59" i="28"/>
  <c r="D93" i="35"/>
  <c r="L90" i="61"/>
  <c r="K90" i="67"/>
  <c r="E105" i="56"/>
  <c r="N102" i="61"/>
  <c r="G78" i="79"/>
  <c r="D93" i="50"/>
  <c r="I104" i="28"/>
  <c r="O75" i="47"/>
  <c r="J99" i="38"/>
  <c r="J97" i="37"/>
  <c r="D22" i="28"/>
  <c r="K65" i="31"/>
  <c r="J66" i="45"/>
  <c r="K96" i="81"/>
  <c r="G72" i="32"/>
  <c r="G70" i="31"/>
  <c r="G29" i="28"/>
  <c r="E72" i="29"/>
  <c r="E70" i="28"/>
  <c r="D84" i="74"/>
  <c r="E99" i="81"/>
  <c r="N99" i="67"/>
  <c r="I87" i="93"/>
  <c r="G78"/>
  <c r="D78" i="62"/>
  <c r="F21" i="31"/>
  <c r="D69" i="73"/>
  <c r="J75" i="87"/>
  <c r="J72" i="81"/>
  <c r="F84" i="29"/>
  <c r="F82" i="28"/>
  <c r="M63" i="45"/>
  <c r="G99" i="44"/>
  <c r="F39" i="37"/>
  <c r="H63" i="51"/>
  <c r="D96" i="75"/>
  <c r="I108" i="30"/>
  <c r="G56" i="31"/>
  <c r="I90" i="87"/>
  <c r="J96" i="48"/>
  <c r="F108" i="60"/>
  <c r="D78" i="40"/>
  <c r="E105" i="35"/>
  <c r="E84" i="19"/>
  <c r="K18" i="88"/>
  <c r="N18" i="37"/>
  <c r="J93" i="36"/>
  <c r="M84" i="90"/>
  <c r="L69" i="74"/>
  <c r="G47" i="28"/>
  <c r="N81" i="58"/>
  <c r="E96" i="59"/>
  <c r="F105" i="90"/>
  <c r="M69" i="40"/>
  <c r="H93" i="25"/>
  <c r="J93" i="55"/>
  <c r="H96" i="77"/>
  <c r="L75" i="91"/>
  <c r="J105" i="57"/>
  <c r="F99" i="38"/>
  <c r="F97" i="37"/>
  <c r="K90" i="33"/>
  <c r="E75" i="63"/>
  <c r="L72" i="43"/>
  <c r="D84" i="46"/>
  <c r="O87"/>
  <c r="E84" i="92"/>
  <c r="G99" i="83"/>
  <c r="O37" i="37"/>
  <c r="K28"/>
  <c r="N92" i="31"/>
  <c r="L72" i="74"/>
  <c r="I66" i="46"/>
  <c r="K69" i="40"/>
  <c r="J90" i="92"/>
  <c r="I37" i="37"/>
  <c r="O81" i="55"/>
  <c r="D99" i="40"/>
  <c r="K26" i="37"/>
  <c r="D66" i="30"/>
  <c r="L87" i="35"/>
  <c r="O102" i="77"/>
  <c r="CF97" i="3"/>
  <c r="H90" i="85"/>
  <c r="L63" i="47"/>
  <c r="M40" i="28"/>
  <c r="J75" i="44"/>
  <c r="D99" i="68"/>
  <c r="N94" i="31"/>
  <c r="N96" i="32"/>
  <c r="G78" i="30"/>
  <c r="M72" i="26"/>
  <c r="H105" i="34"/>
  <c r="L66" i="84"/>
  <c r="G66" i="82"/>
  <c r="F90" i="54"/>
  <c r="K87" i="68"/>
  <c r="N102" i="70"/>
  <c r="L105" i="71"/>
  <c r="I99" i="75"/>
  <c r="N96" i="27"/>
  <c r="I72" i="78"/>
  <c r="M75" i="19"/>
  <c r="M43" i="31"/>
  <c r="G102" i="45"/>
  <c r="E93" i="26"/>
  <c r="L105" i="82"/>
  <c r="M90" i="19"/>
  <c r="F69" i="64"/>
  <c r="N96" i="74"/>
  <c r="O84" i="61"/>
  <c r="J44" i="28"/>
  <c r="E105" i="86"/>
  <c r="N5" i="88"/>
  <c r="H108" i="90"/>
  <c r="O93" i="49"/>
  <c r="F42" i="28"/>
  <c r="F84" i="30"/>
  <c r="H73" i="28"/>
  <c r="H75" i="29"/>
  <c r="M108" i="75"/>
  <c r="L75" i="41"/>
  <c r="F90" i="94"/>
  <c r="N25" i="28"/>
  <c r="H78" i="46"/>
  <c r="K16" i="37"/>
  <c r="E5" i="88"/>
  <c r="E18" i="31"/>
  <c r="CV36" i="3"/>
  <c r="G69" i="86"/>
  <c r="CU43" i="3"/>
  <c r="CF118"/>
  <c r="D105" i="61"/>
  <c r="E93" i="62"/>
  <c r="F91" i="88"/>
  <c r="F93" i="89"/>
  <c r="H5" i="88"/>
  <c r="D105" i="44"/>
  <c r="O67" i="37"/>
  <c r="O69" i="38"/>
  <c r="K71" i="31"/>
  <c r="I78" i="49"/>
  <c r="I90" i="45"/>
  <c r="I87" i="25"/>
  <c r="M96" i="91"/>
  <c r="F99" i="30"/>
  <c r="K47" i="31"/>
  <c r="K75" i="72"/>
  <c r="F69" i="79"/>
  <c r="O72" i="29"/>
  <c r="O70" i="28"/>
  <c r="H81" i="19"/>
  <c r="O104" i="28"/>
  <c r="F66" i="91"/>
  <c r="D108" i="44"/>
  <c r="G22" i="28"/>
  <c r="K16" i="31"/>
  <c r="F44" i="88"/>
  <c r="G105" i="50"/>
  <c r="CB86" i="3"/>
  <c r="L5" i="37"/>
  <c r="J102" i="60"/>
  <c r="D78" i="39"/>
  <c r="I63" i="86"/>
  <c r="D66" i="81"/>
  <c r="O90" i="41"/>
  <c r="G81" i="90"/>
  <c r="F84" i="89"/>
  <c r="F82" i="88"/>
  <c r="M87" i="26"/>
  <c r="K86" i="31"/>
  <c r="J66" i="50"/>
  <c r="J96" i="82"/>
  <c r="K102" i="65"/>
  <c r="D87" i="30"/>
  <c r="K102" i="35"/>
  <c r="J63" i="46"/>
  <c r="F81" i="40"/>
  <c r="CH94" i="3"/>
  <c r="CH114"/>
  <c r="CW31"/>
  <c r="J69" i="92"/>
  <c r="D72" i="85"/>
  <c r="K24" i="28"/>
  <c r="O66" i="66"/>
  <c r="M96" i="65"/>
  <c r="N81" i="67"/>
  <c r="K77" i="37"/>
  <c r="E108" i="38"/>
  <c r="E106" i="37"/>
  <c r="J90" i="35"/>
  <c r="CL124" i="3"/>
  <c r="N90" i="49"/>
  <c r="N99" i="53"/>
  <c r="L63" i="84"/>
  <c r="G87" i="85"/>
  <c r="F66" i="50"/>
  <c r="O105" i="40"/>
  <c r="L90" i="67"/>
  <c r="F75" i="79"/>
  <c r="J72" i="59"/>
  <c r="N90" i="86"/>
  <c r="G75" i="83"/>
  <c r="G87" i="51"/>
  <c r="CJ120" i="3"/>
  <c r="D102" i="82"/>
  <c r="F63" i="54"/>
  <c r="E108" i="69"/>
  <c r="E66" i="33"/>
  <c r="M96" i="39"/>
  <c r="E37" i="88"/>
  <c r="J75" i="93"/>
  <c r="O72" i="94"/>
  <c r="I93" i="93"/>
  <c r="E102" i="45"/>
  <c r="L93"/>
  <c r="F102" i="80"/>
  <c r="N105" i="26"/>
  <c r="F102" i="57"/>
  <c r="E27" i="22"/>
  <c r="F27"/>
  <c r="O20" i="31"/>
  <c r="H87" i="43"/>
  <c r="F96" i="52"/>
  <c r="K52" i="28"/>
  <c r="K35"/>
  <c r="L86"/>
  <c r="CJ123" i="3"/>
  <c r="E25" i="28"/>
  <c r="O81" i="93"/>
  <c r="I78" i="54"/>
  <c r="N105" i="64"/>
  <c r="O102" i="80"/>
  <c r="E78" i="26"/>
  <c r="J66" i="65"/>
  <c r="K90" i="56"/>
  <c r="N78" i="44"/>
  <c r="I96" i="53"/>
  <c r="M81" i="55"/>
  <c r="M42" i="28"/>
  <c r="D102" i="69"/>
  <c r="D26" i="28"/>
  <c r="M69" i="56"/>
  <c r="O75" i="69"/>
  <c r="O90" i="68"/>
  <c r="N72" i="72"/>
  <c r="D93" i="47"/>
  <c r="D96" i="52"/>
  <c r="L9" i="88"/>
  <c r="F23"/>
  <c r="J96" i="27"/>
  <c r="H96" i="60"/>
  <c r="M90"/>
  <c r="F63" i="51"/>
  <c r="F90" i="40"/>
  <c r="K90" i="78"/>
  <c r="E105" i="61"/>
  <c r="J87" i="65"/>
  <c r="F107" i="28"/>
  <c r="I81" i="69"/>
  <c r="J64" i="28"/>
  <c r="J66" i="29"/>
  <c r="D69" i="41"/>
  <c r="K15" i="37"/>
  <c r="F75" i="46"/>
  <c r="E81" i="89"/>
  <c r="E79" i="88"/>
  <c r="N66" i="91"/>
  <c r="N63" i="39"/>
  <c r="L96" i="30"/>
  <c r="I22" i="88"/>
  <c r="O66" i="48"/>
  <c r="O81" i="72"/>
  <c r="F78" i="62"/>
  <c r="L84" i="83"/>
  <c r="K78" i="47"/>
  <c r="I55" i="28"/>
  <c r="F90" i="76"/>
  <c r="M96" i="64"/>
  <c r="I93" i="82"/>
  <c r="O90" i="65"/>
  <c r="I90" i="91"/>
  <c r="D95" i="37"/>
  <c r="O75" i="55"/>
  <c r="N34" i="31"/>
  <c r="G102" i="68"/>
  <c r="M69" i="92"/>
  <c r="H63" i="93"/>
  <c r="K104" i="37"/>
  <c r="N108" i="78"/>
  <c r="E93" i="53"/>
  <c r="K99" i="76"/>
  <c r="L75" i="71"/>
  <c r="I96" i="56"/>
  <c r="L107" i="88"/>
  <c r="O68" i="31"/>
  <c r="O81" i="91"/>
  <c r="O63" i="46"/>
  <c r="L75" i="90"/>
  <c r="N99" i="54"/>
  <c r="M63" i="46"/>
  <c r="CG116" i="3"/>
  <c r="L102" i="92"/>
  <c r="I99" i="67"/>
  <c r="D75" i="74"/>
  <c r="F63" i="25"/>
  <c r="O84" i="59"/>
  <c r="N66" i="38"/>
  <c r="N64" i="37"/>
  <c r="O93" i="67"/>
  <c r="M61" i="37"/>
  <c r="M63" i="38"/>
  <c r="L66" i="80"/>
  <c r="F61" i="37"/>
  <c r="F63" i="38"/>
  <c r="CZ47" i="3"/>
  <c r="CK120"/>
  <c r="D99" i="42"/>
  <c r="O47" i="88"/>
  <c r="O81" i="44"/>
  <c r="M75" i="41"/>
  <c r="G98" i="28"/>
  <c r="K99" i="47"/>
  <c r="L63" i="53"/>
  <c r="O63" i="30"/>
  <c r="E8" i="37"/>
  <c r="H90" i="91"/>
  <c r="L105" i="74"/>
  <c r="G48" i="31"/>
  <c r="E56" i="37"/>
  <c r="M78" i="61"/>
  <c r="F68" i="31"/>
  <c r="J81" i="57"/>
  <c r="E90" i="66"/>
  <c r="F18" i="96"/>
  <c r="H72" i="71"/>
  <c r="D63" i="43"/>
  <c r="L72" i="94"/>
  <c r="M99" i="83"/>
  <c r="M93" i="94"/>
  <c r="I90" i="90"/>
  <c r="J45" i="28"/>
  <c r="L84" i="81"/>
  <c r="E78" i="72"/>
  <c r="H74" i="37"/>
  <c r="O105" i="47"/>
  <c r="L99" i="53"/>
  <c r="D105" i="59"/>
  <c r="K9" i="31"/>
  <c r="O96" i="83"/>
  <c r="N96" i="82"/>
  <c r="O75" i="30"/>
  <c r="D99" i="25"/>
  <c r="L84" i="19"/>
  <c r="G72" i="89"/>
  <c r="G70" i="88"/>
  <c r="N99" i="86"/>
  <c r="M103" i="28"/>
  <c r="M105" i="29"/>
  <c r="I66" i="65"/>
  <c r="N108" i="33"/>
  <c r="D108" i="78"/>
  <c r="M66" i="60"/>
  <c r="I96" i="40"/>
  <c r="M108" i="34"/>
  <c r="K5" i="88"/>
  <c r="K93" i="40"/>
  <c r="K72" i="58"/>
  <c r="J95" i="31"/>
  <c r="N84" i="34"/>
  <c r="E30" i="88"/>
  <c r="G63" i="64"/>
  <c r="G26" i="28"/>
  <c r="J75" i="60"/>
  <c r="J102" i="61"/>
  <c r="M35" i="28"/>
  <c r="E68" i="88"/>
  <c r="F99" i="60"/>
  <c r="E63" i="83"/>
  <c r="K66" i="75"/>
  <c r="F45" i="28"/>
  <c r="F72" i="25"/>
  <c r="H96" i="43"/>
  <c r="N105" i="19"/>
  <c r="H90" i="77"/>
  <c r="I102" i="86"/>
  <c r="G84" i="35"/>
  <c r="M78" i="39"/>
  <c r="D96" i="72"/>
  <c r="G63" i="46"/>
  <c r="F105" i="82"/>
  <c r="H105" i="58"/>
  <c r="F93" i="66"/>
  <c r="M56" i="31"/>
  <c r="M78" i="63"/>
  <c r="L87" i="39"/>
  <c r="H105" i="42"/>
  <c r="E102" i="49"/>
  <c r="O90" i="39"/>
  <c r="O75" i="36"/>
  <c r="D105" i="93"/>
  <c r="N75" i="47"/>
  <c r="E90" i="32"/>
  <c r="E88" i="31"/>
  <c r="L78" i="33"/>
  <c r="J90" i="81"/>
  <c r="G15" i="88"/>
  <c r="E66" i="93"/>
  <c r="F69" i="74"/>
  <c r="H69" i="57"/>
  <c r="M63" i="87"/>
  <c r="K102" i="67"/>
  <c r="H87" i="74"/>
  <c r="D72" i="77"/>
  <c r="D78" i="81"/>
  <c r="F78" i="67"/>
  <c r="M105" i="92"/>
  <c r="H93" i="43"/>
  <c r="I87" i="73"/>
  <c r="F16" i="22"/>
  <c r="E16"/>
  <c r="D108" i="77"/>
  <c r="O40" i="31"/>
  <c r="L66" i="56"/>
  <c r="D8" i="28"/>
  <c r="F93" i="80"/>
  <c r="L81" i="90"/>
  <c r="D84" i="30"/>
  <c r="K99" i="81"/>
  <c r="M90" i="69"/>
  <c r="H90" i="40"/>
  <c r="H91" i="31"/>
  <c r="H93" i="32"/>
  <c r="H63" i="86"/>
  <c r="G93" i="46"/>
  <c r="M45" i="31"/>
  <c r="O108" i="44"/>
  <c r="G69" i="56"/>
  <c r="L75" i="86"/>
  <c r="M93" i="55"/>
  <c r="O108" i="64"/>
  <c r="CE2" i="3"/>
  <c r="CE22" s="1"/>
  <c r="E81" i="84"/>
  <c r="H108" i="25"/>
  <c r="E81" i="34"/>
  <c r="E108" i="46"/>
  <c r="J47" i="37"/>
  <c r="G105" i="54"/>
  <c r="I99" i="43"/>
  <c r="E75" i="65"/>
  <c r="G105" i="47"/>
  <c r="E105" i="76"/>
  <c r="E91" i="31"/>
  <c r="E93" i="32"/>
  <c r="M81" i="46"/>
  <c r="N33" i="88"/>
  <c r="G63" i="65"/>
  <c r="G44" i="88"/>
  <c r="H90" i="67"/>
  <c r="E66" i="75"/>
  <c r="L102" i="70"/>
  <c r="H84" i="78"/>
  <c r="G34" i="88"/>
  <c r="E90" i="38"/>
  <c r="E88" i="37"/>
  <c r="D108" i="66"/>
  <c r="G102" i="19"/>
  <c r="M84" i="54"/>
  <c r="K75" i="80"/>
  <c r="J72" i="40"/>
  <c r="E5" i="31"/>
  <c r="E96" i="62"/>
  <c r="I102" i="81"/>
  <c r="O81" i="70"/>
  <c r="I90" i="62"/>
  <c r="F84" i="81"/>
  <c r="D99" i="61"/>
  <c r="I41" i="31"/>
  <c r="J108" i="49"/>
  <c r="M69" i="44"/>
  <c r="L86" i="31"/>
  <c r="N69" i="73"/>
  <c r="G87" i="33"/>
  <c r="F102" i="85"/>
  <c r="J105" i="83"/>
  <c r="I66"/>
  <c r="L102" i="43"/>
  <c r="N99" i="46"/>
  <c r="E108" i="59"/>
  <c r="F84" i="82"/>
  <c r="CP47" i="3"/>
  <c r="CA120"/>
  <c r="G90" i="34"/>
  <c r="E25" i="37"/>
  <c r="M78" i="78"/>
  <c r="H81" i="85"/>
  <c r="E87" i="33"/>
  <c r="L63" i="51"/>
  <c r="H65" i="88"/>
  <c r="I99" i="69"/>
  <c r="F105" i="66"/>
  <c r="I93" i="36"/>
  <c r="D99" i="54"/>
  <c r="E84" i="65"/>
  <c r="D75" i="46"/>
  <c r="K72" i="91"/>
  <c r="G93" i="33"/>
  <c r="D87" i="83"/>
  <c r="H45" i="31"/>
  <c r="H96" i="55"/>
  <c r="H63" i="67"/>
  <c r="G108" i="54"/>
  <c r="M81" i="81"/>
  <c r="D75" i="57"/>
  <c r="G102" i="52"/>
  <c r="CW38" i="3"/>
  <c r="DJ26" s="1"/>
  <c r="DJ27"/>
  <c r="F101" i="31"/>
  <c r="J78" i="25"/>
  <c r="G66" i="52"/>
  <c r="O81" i="35"/>
  <c r="F66" i="29"/>
  <c r="F64" i="28"/>
  <c r="F66" s="1"/>
  <c r="D49" i="88"/>
  <c r="E78" i="81"/>
  <c r="L66" i="43"/>
  <c r="CK99" i="3"/>
  <c r="D50" i="28"/>
  <c r="D105" i="40"/>
  <c r="D68" i="37"/>
  <c r="M70" i="31"/>
  <c r="M72" i="32"/>
  <c r="E105" i="34"/>
  <c r="H81" i="60"/>
  <c r="F82" i="31"/>
  <c r="F84" i="32"/>
  <c r="H69" i="91"/>
  <c r="H99" i="84"/>
  <c r="G75"/>
  <c r="K69" i="19"/>
  <c r="I105" i="58"/>
  <c r="G99" i="80"/>
  <c r="D72" i="50"/>
  <c r="D72" i="94"/>
  <c r="N75" i="76"/>
  <c r="O70" i="88"/>
  <c r="O72" i="89"/>
  <c r="I96" i="30"/>
  <c r="F81" i="41"/>
  <c r="L93" i="25"/>
  <c r="G75" i="27"/>
  <c r="L66" i="90"/>
  <c r="D78" i="29"/>
  <c r="D76" i="28"/>
  <c r="L74"/>
  <c r="M63" i="59"/>
  <c r="K93" i="80"/>
  <c r="K81" i="39"/>
  <c r="K39" i="88"/>
  <c r="D67"/>
  <c r="D69" i="89"/>
  <c r="J90" i="63"/>
  <c r="D63" i="68"/>
  <c r="H81" i="41"/>
  <c r="E78" i="19"/>
  <c r="F66" i="85"/>
  <c r="I105" i="48"/>
  <c r="O21" i="31"/>
  <c r="M95" i="37"/>
  <c r="G108" i="56"/>
  <c r="O66" i="57"/>
  <c r="L93" i="44"/>
  <c r="E72" i="46"/>
  <c r="L96" i="66"/>
  <c r="CU71" i="3"/>
  <c r="CU72" s="1"/>
  <c r="N102" i="48"/>
  <c r="E99" i="58"/>
  <c r="J102" i="39"/>
  <c r="K66" i="86"/>
  <c r="D90" i="41"/>
  <c r="F75" i="40"/>
  <c r="L12" i="37"/>
  <c r="H69" i="62"/>
  <c r="H105" i="64"/>
  <c r="D63" i="30"/>
  <c r="M105" i="67"/>
  <c r="N80" i="88"/>
  <c r="H99" i="92"/>
  <c r="J69" i="53"/>
  <c r="J81" i="73"/>
  <c r="G93" i="19"/>
  <c r="M108" i="63"/>
  <c r="K96" i="91"/>
  <c r="J75" i="46"/>
  <c r="J81" i="25"/>
  <c r="H87" i="48"/>
  <c r="D102" i="76"/>
  <c r="K100" i="28"/>
  <c r="K102" i="29"/>
  <c r="E75" i="77"/>
  <c r="G68" i="31"/>
  <c r="H84" i="83"/>
  <c r="E75" i="51"/>
  <c r="O84" i="68"/>
  <c r="E78" i="90"/>
  <c r="J6" i="31"/>
  <c r="M66" i="55"/>
  <c r="M105" i="66"/>
  <c r="L28" i="28"/>
  <c r="O96" i="80"/>
  <c r="K72" i="74"/>
  <c r="L96" i="71"/>
  <c r="N96" i="55"/>
  <c r="H93" i="86"/>
  <c r="D43" i="37"/>
  <c r="M62"/>
  <c r="O76"/>
  <c r="O78" i="38"/>
  <c r="L105" i="91"/>
  <c r="G105" i="59"/>
  <c r="F108" i="90"/>
  <c r="F81" i="58"/>
  <c r="N99" i="94"/>
  <c r="L108" i="74"/>
  <c r="K81" i="60"/>
  <c r="L99" i="59"/>
  <c r="J75" i="70"/>
  <c r="G99" i="81"/>
  <c r="F99" i="80"/>
  <c r="G102" i="51"/>
  <c r="L78" i="34"/>
  <c r="N90" i="61"/>
  <c r="H102" i="82"/>
  <c r="H63" i="45"/>
  <c r="O84" i="33"/>
  <c r="G30" i="31"/>
  <c r="I87" i="74"/>
  <c r="H93"/>
  <c r="I93" i="26"/>
  <c r="H66"/>
  <c r="H57" i="31"/>
  <c r="G81" i="73"/>
  <c r="G66" i="79"/>
  <c r="E87" i="80"/>
  <c r="M81" i="45"/>
  <c r="D87"/>
  <c r="F21" i="88"/>
  <c r="F6" i="22"/>
  <c r="E6"/>
  <c r="K102" i="90"/>
  <c r="D81" i="36"/>
  <c r="N95" i="31"/>
  <c r="J93" i="71"/>
  <c r="F84" i="40"/>
  <c r="L72" i="90"/>
  <c r="J66" i="84"/>
  <c r="O20" i="88"/>
  <c r="F81" i="83"/>
  <c r="M87" i="71"/>
  <c r="N108" i="93"/>
  <c r="J96" i="44"/>
  <c r="E66" i="70"/>
  <c r="F25" i="22"/>
  <c r="E25"/>
  <c r="D105" i="54"/>
  <c r="L75" i="70"/>
  <c r="M75" i="90"/>
  <c r="N105" i="81"/>
  <c r="H90" i="36"/>
  <c r="E7" i="88"/>
  <c r="K12" i="37"/>
  <c r="J90" i="76"/>
  <c r="G108" i="29"/>
  <c r="G106" i="28"/>
  <c r="L17" i="88"/>
  <c r="F81" i="48"/>
  <c r="E105" i="52"/>
  <c r="M87" i="67"/>
  <c r="N78" i="91"/>
  <c r="D87" i="84"/>
  <c r="M81" i="62"/>
  <c r="L71" i="31"/>
  <c r="D84" i="52"/>
  <c r="K75" i="34"/>
  <c r="H16" i="37"/>
  <c r="K78" i="53"/>
  <c r="L99" i="36"/>
  <c r="O102" i="81"/>
  <c r="H66" i="87"/>
  <c r="O78" i="63"/>
  <c r="J86" i="88"/>
  <c r="L69" i="36"/>
  <c r="K93" i="93"/>
  <c r="N90" i="47"/>
  <c r="H84" i="46"/>
  <c r="K80" i="28"/>
  <c r="K11" i="37"/>
  <c r="O75" i="62"/>
  <c r="E102" i="72"/>
  <c r="I13" i="28"/>
  <c r="F47" i="31"/>
  <c r="E81" i="66"/>
  <c r="H81" i="35"/>
  <c r="F105" i="91"/>
  <c r="I74" i="88"/>
  <c r="H75" i="84"/>
  <c r="F84" i="19"/>
  <c r="I66" i="75"/>
  <c r="G42" i="88"/>
  <c r="D102" i="77"/>
  <c r="H90" i="44"/>
  <c r="J105" i="81"/>
  <c r="N105" i="87"/>
  <c r="H96" i="72"/>
  <c r="L72" i="59"/>
  <c r="D94" i="28"/>
  <c r="D96" i="29"/>
  <c r="D84" i="70"/>
  <c r="H75" i="94"/>
  <c r="H66" i="19"/>
  <c r="O84" i="74"/>
  <c r="I63" i="54"/>
  <c r="E102" i="92"/>
  <c r="K105" i="63"/>
  <c r="N108" i="82"/>
  <c r="G50" i="28"/>
  <c r="CH88" i="3"/>
  <c r="F63" i="69"/>
  <c r="I90" i="85"/>
  <c r="O87" i="49"/>
  <c r="M72" i="93"/>
  <c r="I99" i="30"/>
  <c r="J81" i="32"/>
  <c r="J79" i="31"/>
  <c r="N93" i="55"/>
  <c r="O87" i="94"/>
  <c r="E84" i="43"/>
  <c r="M98" i="37"/>
  <c r="N66" i="45"/>
  <c r="F108" i="66"/>
  <c r="CE118" i="3"/>
  <c r="L16" i="31"/>
  <c r="E78" i="83"/>
  <c r="L73" i="28"/>
  <c r="L75" i="29"/>
  <c r="G80" i="37"/>
  <c r="E69" i="82"/>
  <c r="F99" i="84"/>
  <c r="E105" i="91"/>
  <c r="M84" i="44"/>
  <c r="N69" i="48"/>
  <c r="D75" i="78"/>
  <c r="CL119" i="3"/>
  <c r="M75" i="83"/>
  <c r="E93" i="80"/>
  <c r="N72" i="78"/>
  <c r="L99" i="68"/>
  <c r="L59" i="37"/>
  <c r="H93" i="48"/>
  <c r="L108" i="19"/>
  <c r="G69" i="67"/>
  <c r="K66" i="33"/>
  <c r="M77" i="28"/>
  <c r="D63" i="52"/>
  <c r="M102" i="47"/>
  <c r="F28" i="37"/>
  <c r="O42"/>
  <c r="H40"/>
  <c r="O42" i="28"/>
  <c r="H69" i="83"/>
  <c r="N105" i="59"/>
  <c r="I99" i="52"/>
  <c r="L108" i="44"/>
  <c r="E102" i="26"/>
  <c r="M75" i="29"/>
  <c r="M73" i="28"/>
  <c r="H63" i="87"/>
  <c r="E99" i="84"/>
  <c r="E93" i="72"/>
  <c r="I87" i="67"/>
  <c r="N17" i="37"/>
  <c r="L108" i="92"/>
  <c r="J75" i="69"/>
  <c r="L87" i="78"/>
  <c r="I107" i="28"/>
  <c r="D93" i="87"/>
  <c r="E66"/>
  <c r="K96" i="71"/>
  <c r="I102" i="66"/>
  <c r="I96" i="49"/>
  <c r="J78" i="66"/>
  <c r="O14" i="37"/>
  <c r="J66" i="54"/>
  <c r="N37" i="88"/>
  <c r="N93" i="90"/>
  <c r="K80" i="31"/>
  <c r="L24" i="28"/>
  <c r="N63" i="66"/>
  <c r="J99" i="67"/>
  <c r="K108" i="30"/>
  <c r="N63" i="74"/>
  <c r="D96" i="81"/>
  <c r="J72" i="87"/>
  <c r="K101" i="31"/>
  <c r="O75" i="81"/>
  <c r="I96" i="83"/>
  <c r="N105" i="90"/>
  <c r="M96" i="89"/>
  <c r="M94" i="88"/>
  <c r="D72" i="76"/>
  <c r="E87" i="78"/>
  <c r="K69" i="76"/>
  <c r="L85" i="37"/>
  <c r="L87" i="38"/>
  <c r="K40" i="37"/>
  <c r="N90" i="93"/>
  <c r="F99" i="94"/>
  <c r="J84" i="48"/>
  <c r="E93" i="55"/>
  <c r="L99" i="40"/>
  <c r="G41" i="31"/>
  <c r="N93" i="47"/>
  <c r="G28" i="88"/>
  <c r="K75" i="55"/>
  <c r="E69" i="66"/>
  <c r="O99" i="76"/>
  <c r="I93" i="71"/>
  <c r="I90" i="54"/>
  <c r="O84" i="75"/>
  <c r="F84" i="77"/>
  <c r="I57" i="28"/>
  <c r="I44" i="88"/>
  <c r="L63" i="40"/>
  <c r="K27" i="31"/>
  <c r="M69" i="82"/>
  <c r="D50" i="31"/>
  <c r="G75" i="55"/>
  <c r="D87" i="69"/>
  <c r="N84" i="80"/>
  <c r="O96" i="67"/>
  <c r="F102" i="30"/>
  <c r="K90" i="76"/>
  <c r="F63" i="56"/>
  <c r="E105" i="63"/>
  <c r="L102" i="58"/>
  <c r="D90" i="19"/>
  <c r="O69" i="86"/>
  <c r="K66" i="19"/>
  <c r="N39" i="88"/>
  <c r="G108" i="81"/>
  <c r="E75" i="53"/>
  <c r="L108" i="32"/>
  <c r="L106" i="31"/>
  <c r="F69" i="56"/>
  <c r="G69" i="48"/>
  <c r="J90" i="70"/>
  <c r="N81" i="33"/>
  <c r="J108" i="93"/>
  <c r="G66" i="55"/>
  <c r="L87" i="19"/>
  <c r="N38" i="31"/>
  <c r="I90" i="64"/>
  <c r="I72" i="93"/>
  <c r="N93" i="36"/>
  <c r="J21" i="37"/>
  <c r="M75" i="35"/>
  <c r="J25" i="31"/>
  <c r="DH27" i="3"/>
  <c r="D35" i="31"/>
  <c r="K25" i="37"/>
  <c r="N46" i="88"/>
  <c r="M99" i="25"/>
  <c r="F108" i="36"/>
  <c r="N75" i="87"/>
  <c r="I69" i="45"/>
  <c r="K105" i="94"/>
  <c r="O72" i="34"/>
  <c r="F31" i="37"/>
  <c r="D75" i="44"/>
  <c r="O69" i="94"/>
  <c r="N84" i="73"/>
  <c r="M90" i="41"/>
  <c r="J94" i="28"/>
  <c r="J96" i="29"/>
  <c r="E15" i="31"/>
  <c r="D56" i="37"/>
  <c r="G78" i="70"/>
  <c r="F45" i="37"/>
  <c r="M91" i="28"/>
  <c r="M93" i="29"/>
  <c r="O69" i="72"/>
  <c r="K72" i="81"/>
  <c r="I66" i="82"/>
  <c r="H17" i="31"/>
  <c r="E72" i="50"/>
  <c r="I105" i="65"/>
  <c r="CV73" i="3"/>
  <c r="CV74" s="1"/>
  <c r="M7" i="88"/>
  <c r="K81" i="76"/>
  <c r="G46" i="37"/>
  <c r="O55" i="88"/>
  <c r="M15" i="22"/>
  <c r="N15"/>
  <c r="M93" i="70"/>
  <c r="D93" i="32"/>
  <c r="D91" i="31"/>
  <c r="M96" i="72"/>
  <c r="K75" i="45"/>
  <c r="K96" i="94"/>
  <c r="I81" i="55"/>
  <c r="M75" i="46"/>
  <c r="D75" i="80"/>
  <c r="G99" i="82"/>
  <c r="H81" i="45"/>
  <c r="E93" i="67"/>
  <c r="I69" i="63"/>
  <c r="F78" i="38"/>
  <c r="F76" i="37"/>
  <c r="G54" i="31"/>
  <c r="D93" i="51"/>
  <c r="O99" i="65"/>
  <c r="E91" i="88"/>
  <c r="E93" i="89"/>
  <c r="E47" i="28"/>
  <c r="E84" i="39"/>
  <c r="L66" i="58"/>
  <c r="L50" i="37"/>
  <c r="O55" i="28"/>
  <c r="E40"/>
  <c r="E90" i="94"/>
  <c r="O75" i="51"/>
  <c r="H102" i="76"/>
  <c r="N69" i="77"/>
  <c r="F27" i="28"/>
  <c r="E40" i="88"/>
  <c r="L108" i="58"/>
  <c r="N96" i="44"/>
  <c r="D69" i="60"/>
  <c r="I75" i="61"/>
  <c r="H75" i="47"/>
  <c r="J108" i="27"/>
  <c r="F66" i="64"/>
  <c r="L108" i="83"/>
  <c r="O108" i="53"/>
  <c r="M88" i="88"/>
  <c r="M90" i="89"/>
  <c r="H35" i="37"/>
  <c r="L69" i="86"/>
  <c r="F84" i="90"/>
  <c r="M108" i="83"/>
  <c r="K75" i="68"/>
  <c r="F90" i="66"/>
  <c r="E90" i="39"/>
  <c r="E77" i="28"/>
  <c r="M90" i="73"/>
  <c r="H93" i="78"/>
  <c r="K75" i="41"/>
  <c r="F93" i="76"/>
  <c r="O45" i="28"/>
  <c r="J87" i="51"/>
  <c r="D37" i="28"/>
  <c r="I27" i="37"/>
  <c r="H69" i="19"/>
  <c r="D66" i="35"/>
  <c r="G87" i="91"/>
  <c r="J72" i="79"/>
  <c r="O74" i="28"/>
  <c r="O66" i="87"/>
  <c r="I83" i="88"/>
  <c r="L96" i="80"/>
  <c r="O99" i="30"/>
  <c r="F105" i="80"/>
  <c r="I69" i="67"/>
  <c r="M63" i="58"/>
  <c r="K66" i="68"/>
  <c r="J72" i="27"/>
  <c r="J99" i="74"/>
  <c r="D63" i="91"/>
  <c r="O81" i="48"/>
  <c r="E69" i="33"/>
  <c r="N93" i="45"/>
  <c r="E66" i="56"/>
  <c r="M99" i="67"/>
  <c r="O75" i="90"/>
  <c r="I72" i="71"/>
  <c r="L78" i="70"/>
  <c r="L102" i="63"/>
  <c r="N28" i="28"/>
  <c r="J63" i="63"/>
  <c r="N105" i="83"/>
  <c r="H78" i="33"/>
  <c r="F5" i="88"/>
  <c r="O93" i="59"/>
  <c r="F81" i="34"/>
  <c r="I63" i="59"/>
  <c r="J13" i="31"/>
  <c r="E99" i="51"/>
  <c r="F62" i="88"/>
  <c r="J87" i="72"/>
  <c r="D99" i="85"/>
  <c r="I75" i="57"/>
  <c r="I19" i="88"/>
  <c r="N70"/>
  <c r="N72" i="89"/>
  <c r="O96" i="48"/>
  <c r="J102" i="83"/>
  <c r="I42" i="88"/>
  <c r="I72" i="90"/>
  <c r="N72" i="35"/>
  <c r="I102" i="92"/>
  <c r="D69" i="71"/>
  <c r="L102" i="26"/>
  <c r="L66" i="40"/>
  <c r="D99" i="77"/>
  <c r="K25" i="28"/>
  <c r="M90" i="26"/>
  <c r="G105" i="61"/>
  <c r="O108" i="69"/>
  <c r="H63" i="19"/>
  <c r="N69" i="45"/>
  <c r="N66" i="71"/>
  <c r="H63" i="34"/>
  <c r="CC88" i="3"/>
  <c r="CR29"/>
  <c r="J108" i="54"/>
  <c r="N90" i="34"/>
  <c r="N108" i="40"/>
  <c r="D63" i="85"/>
  <c r="H108" i="66"/>
  <c r="J93" i="87"/>
  <c r="M87" i="48"/>
  <c r="N87" i="64"/>
  <c r="L48" i="31"/>
  <c r="I90" i="65"/>
  <c r="N96" i="64"/>
  <c r="L69" i="68"/>
  <c r="N81" i="83"/>
  <c r="G81" i="70"/>
  <c r="L63" i="57"/>
  <c r="L81" i="40"/>
  <c r="H99" i="78"/>
  <c r="M69" i="53"/>
  <c r="F102" i="46"/>
  <c r="H93" i="54"/>
  <c r="G99" i="94"/>
  <c r="I96" i="39"/>
  <c r="J69" i="41"/>
  <c r="E87" i="46"/>
  <c r="L75" i="56"/>
  <c r="N96" i="92"/>
  <c r="K45" i="37"/>
  <c r="M28" i="28"/>
  <c r="M93" i="73"/>
  <c r="H93" i="85"/>
  <c r="I108" i="70"/>
  <c r="E87" i="39"/>
  <c r="O17" i="31"/>
  <c r="H93" i="81"/>
  <c r="N98" i="28"/>
  <c r="M69" i="60"/>
  <c r="L102" i="81"/>
  <c r="O63" i="82"/>
  <c r="N105" i="91"/>
  <c r="H81" i="93"/>
  <c r="J13" i="28"/>
  <c r="K85"/>
  <c r="K87" i="29"/>
  <c r="M22" i="31"/>
  <c r="L93" i="34"/>
  <c r="F90" i="60"/>
  <c r="I84" i="56"/>
  <c r="L5" i="31"/>
  <c r="H90" i="80"/>
  <c r="N93" i="82"/>
  <c r="H66" i="85"/>
  <c r="G23" i="28"/>
  <c r="L17" i="31"/>
  <c r="M94" i="37"/>
  <c r="M96" i="38"/>
  <c r="J99" i="92"/>
  <c r="F90" i="65"/>
  <c r="N53" i="28"/>
  <c r="M81" i="56"/>
  <c r="F99" i="67"/>
  <c r="E102" i="83"/>
  <c r="L51" i="28"/>
  <c r="L69" i="65"/>
  <c r="D63" i="55"/>
  <c r="E87" i="19"/>
  <c r="G93" i="30"/>
  <c r="K102" i="55"/>
  <c r="J26" i="31"/>
  <c r="O108" i="45"/>
  <c r="I84" i="54"/>
  <c r="M66" i="66"/>
  <c r="E72" i="82"/>
  <c r="G69" i="43"/>
  <c r="F96" i="66"/>
  <c r="M93" i="87"/>
  <c r="L75" i="68"/>
  <c r="N78" i="48"/>
  <c r="J102" i="73"/>
  <c r="D81" i="25"/>
  <c r="D90" i="43"/>
  <c r="K84" i="55"/>
  <c r="O93" i="51"/>
  <c r="L99" i="91"/>
  <c r="K38" i="28"/>
  <c r="H78" i="65"/>
  <c r="G7" i="88"/>
  <c r="J93" i="77"/>
  <c r="L105" i="60"/>
  <c r="F99" i="72"/>
  <c r="H69" i="70"/>
  <c r="L7" i="88"/>
  <c r="J108" i="76"/>
  <c r="K37" i="22"/>
  <c r="O67" i="31"/>
  <c r="O69" i="32"/>
  <c r="F102" i="81"/>
  <c r="N95" i="88"/>
  <c r="O93" i="45"/>
  <c r="J63" i="27"/>
  <c r="N65" i="31"/>
  <c r="D99" i="69"/>
  <c r="J59" i="37"/>
  <c r="F6" i="28"/>
  <c r="E105" i="40"/>
  <c r="M78" i="45"/>
  <c r="H84" i="58"/>
  <c r="O102" i="72"/>
  <c r="F99" i="65"/>
  <c r="J87" i="45"/>
  <c r="D75" i="67"/>
  <c r="H108" i="43"/>
  <c r="O63" i="70"/>
  <c r="M99" i="36"/>
  <c r="M96" i="76"/>
  <c r="J105" i="45"/>
  <c r="M84" i="39"/>
  <c r="D93" i="58"/>
  <c r="I78" i="35"/>
  <c r="E84" i="40"/>
  <c r="F69" i="57"/>
  <c r="O81" i="56"/>
  <c r="E93" i="27"/>
  <c r="E98" i="37"/>
  <c r="D41" i="28"/>
  <c r="D53" i="37"/>
  <c r="K71" i="28"/>
  <c r="D105" i="19"/>
  <c r="O93" i="78"/>
  <c r="D36" i="37"/>
  <c r="F65" i="31"/>
  <c r="F102" i="75"/>
  <c r="M75" i="68"/>
  <c r="F95" i="37"/>
  <c r="I99" i="85"/>
  <c r="D6" i="88"/>
  <c r="N99" i="83"/>
  <c r="I105" i="27"/>
  <c r="O66" i="34"/>
  <c r="L72" i="19"/>
  <c r="D96" i="56"/>
  <c r="E81" i="26"/>
  <c r="G31" i="88"/>
  <c r="M43" i="28"/>
  <c r="F105" i="59"/>
  <c r="O10" i="31"/>
  <c r="G63" i="60"/>
  <c r="L22" i="88"/>
  <c r="L99" i="39"/>
  <c r="G72" i="46"/>
  <c r="F79" i="31"/>
  <c r="F81" i="32"/>
  <c r="G52" i="37"/>
  <c r="I72" i="55"/>
  <c r="G66" i="56"/>
  <c r="N95" i="28"/>
  <c r="I96" i="33"/>
  <c r="M105" i="82"/>
  <c r="M29" i="31"/>
  <c r="I75" i="76"/>
  <c r="J63" i="68"/>
  <c r="N84" i="92"/>
  <c r="O66" i="82"/>
  <c r="J41" i="88"/>
  <c r="J72" i="62"/>
  <c r="O49" i="31"/>
  <c r="N87" i="19"/>
  <c r="O99" i="47"/>
  <c r="G99" i="72"/>
  <c r="I87" i="19"/>
  <c r="K31" i="31"/>
  <c r="H108" i="39"/>
  <c r="K69" i="62"/>
  <c r="E98" i="28"/>
  <c r="G96" i="72"/>
  <c r="N103" i="31"/>
  <c r="N105" i="32"/>
  <c r="CA97" i="3"/>
  <c r="CA101" s="1"/>
  <c r="CP30"/>
  <c r="F15" i="88"/>
  <c r="J87" i="68"/>
  <c r="I63" i="46"/>
  <c r="L89" i="28"/>
  <c r="N78" i="75"/>
  <c r="J66" i="76"/>
  <c r="G78" i="69"/>
  <c r="O77" i="31"/>
  <c r="K99" i="35"/>
  <c r="I66" i="91"/>
  <c r="N32" i="37"/>
  <c r="K84" i="39"/>
  <c r="M25" i="37"/>
  <c r="L69" i="83"/>
  <c r="K78" i="91"/>
  <c r="O66" i="46"/>
  <c r="G105" i="64"/>
  <c r="H81" i="55"/>
  <c r="D59" i="37"/>
  <c r="K66" i="48"/>
  <c r="J93" i="81"/>
  <c r="F96" i="67"/>
  <c r="E87" i="45"/>
  <c r="D13" i="28"/>
  <c r="K34" i="31"/>
  <c r="O78" i="48"/>
  <c r="E108" i="66"/>
  <c r="G99" i="78"/>
  <c r="O63" i="35"/>
  <c r="N58" i="28"/>
  <c r="CP38" i="3"/>
  <c r="DC26" s="1"/>
  <c r="DC27"/>
  <c r="J96" i="66"/>
  <c r="K72" i="94"/>
  <c r="L93" i="93"/>
  <c r="O72" i="90"/>
  <c r="M63" i="71"/>
  <c r="F99" i="61"/>
  <c r="G77" i="31"/>
  <c r="L32" i="28"/>
  <c r="F66" i="45"/>
  <c r="F105" i="41"/>
  <c r="O94" i="28"/>
  <c r="O96" i="29"/>
  <c r="F108" i="83"/>
  <c r="O99" i="43"/>
  <c r="H93" i="91"/>
  <c r="I72" i="69"/>
  <c r="F87" i="77"/>
  <c r="I90" i="40"/>
  <c r="G72" i="63"/>
  <c r="N63" i="60"/>
  <c r="O21" i="37"/>
  <c r="H78" i="83"/>
  <c r="M19" i="31"/>
  <c r="H99" i="45"/>
  <c r="M84" i="68"/>
  <c r="J90" i="93"/>
  <c r="J49" i="28"/>
  <c r="J63" i="70"/>
  <c r="D87" i="50"/>
  <c r="J98" i="37"/>
  <c r="K66" i="63"/>
  <c r="F87" i="65"/>
  <c r="F71" i="37"/>
  <c r="I72" i="85"/>
  <c r="I69" i="80"/>
  <c r="I37" i="31"/>
  <c r="M93" i="74"/>
  <c r="N78" i="35"/>
  <c r="G84" i="69"/>
  <c r="O90" i="51"/>
  <c r="N81" i="57"/>
  <c r="J68" i="31"/>
  <c r="O55" i="37"/>
  <c r="F69" i="27"/>
  <c r="K96" i="62"/>
  <c r="F56" i="31"/>
  <c r="E56" i="28"/>
  <c r="K69" i="47"/>
  <c r="K85" i="88"/>
  <c r="K87" i="89"/>
  <c r="D27" i="37"/>
  <c r="J29" i="88"/>
  <c r="N35" i="31"/>
  <c r="F93" i="51"/>
  <c r="M69" i="75"/>
  <c r="I90" i="61"/>
  <c r="M66" i="34"/>
  <c r="J105" i="72"/>
  <c r="O105" i="71"/>
  <c r="K90" i="34"/>
  <c r="E105" i="32"/>
  <c r="E103" i="31"/>
  <c r="L54" i="37"/>
  <c r="M105" i="78"/>
  <c r="O37" i="28"/>
  <c r="D96" i="64"/>
  <c r="H102" i="57"/>
  <c r="J96" i="33"/>
  <c r="G78" i="59"/>
  <c r="K59" i="37"/>
  <c r="CC121" i="3"/>
  <c r="J69" i="57"/>
  <c r="H108" i="82"/>
  <c r="E87" i="41"/>
  <c r="D69" i="85"/>
  <c r="I96" i="62"/>
  <c r="E87" i="64"/>
  <c r="K63" i="70"/>
  <c r="G75" i="94"/>
  <c r="N72" i="64"/>
  <c r="L9" i="31"/>
  <c r="O4" i="28"/>
  <c r="D69" i="30"/>
  <c r="F102" i="41"/>
  <c r="I90" i="58"/>
  <c r="H6" i="37"/>
  <c r="E29" i="28"/>
  <c r="H12" i="31"/>
  <c r="H93" i="27"/>
  <c r="I66" i="58"/>
  <c r="N90" i="26"/>
  <c r="D90" i="79"/>
  <c r="M34" i="37"/>
  <c r="E99" i="71"/>
  <c r="O43" i="28"/>
  <c r="L81" i="39"/>
  <c r="E84" i="36"/>
  <c r="G36" i="88"/>
  <c r="L96" i="38"/>
  <c r="L94" i="37"/>
  <c r="J63" i="77"/>
  <c r="L93" i="54"/>
  <c r="F96" i="71"/>
  <c r="E105" i="46"/>
  <c r="I84" i="85"/>
  <c r="M105" i="84"/>
  <c r="K96" i="41"/>
  <c r="N81" i="82"/>
  <c r="D63" i="77"/>
  <c r="F31" i="88"/>
  <c r="D75" i="50"/>
  <c r="K25" i="88"/>
  <c r="K105" i="40"/>
  <c r="H93" i="90"/>
  <c r="I30" i="28"/>
  <c r="K84" i="75"/>
  <c r="H102" i="27"/>
  <c r="H66" i="57"/>
  <c r="G78" i="71"/>
  <c r="K24" i="37"/>
  <c r="G108" i="59"/>
  <c r="D93" i="34"/>
  <c r="F15" i="28"/>
  <c r="F72" i="27"/>
  <c r="H105" i="78"/>
  <c r="O31" i="88"/>
  <c r="O105" i="82"/>
  <c r="O84" i="49"/>
  <c r="I93" i="61"/>
  <c r="O90" i="57"/>
  <c r="G90" i="81"/>
  <c r="N99" i="72"/>
  <c r="E50" i="88"/>
  <c r="M72" i="60"/>
  <c r="F66" i="81"/>
  <c r="M69" i="41"/>
  <c r="H75" i="36"/>
  <c r="E84" i="44"/>
  <c r="F84" i="66"/>
  <c r="D71" i="28"/>
  <c r="M69" i="58"/>
  <c r="H69" i="29"/>
  <c r="H67" i="28"/>
  <c r="M4" i="88"/>
  <c r="J78" i="57"/>
  <c r="O87" i="19"/>
  <c r="K93" i="67"/>
  <c r="L99" i="80"/>
  <c r="L78" i="86"/>
  <c r="N90" i="35"/>
  <c r="O58" i="37"/>
  <c r="O105" i="62"/>
  <c r="K87" i="73"/>
  <c r="O108" i="63"/>
  <c r="I72" i="54"/>
  <c r="O90" i="84"/>
  <c r="J84" i="43"/>
  <c r="I66" i="59"/>
  <c r="O72" i="30"/>
  <c r="H54" i="88"/>
  <c r="I99" i="92"/>
  <c r="O108" i="76"/>
  <c r="H72" i="90"/>
  <c r="I78" i="79"/>
  <c r="G102" i="59"/>
  <c r="O84" i="87"/>
  <c r="M75" i="30"/>
  <c r="G87" i="59"/>
  <c r="M108" i="56"/>
  <c r="H72" i="41"/>
  <c r="O97" i="88"/>
  <c r="O99" i="89"/>
  <c r="M81" i="87"/>
  <c r="K105" i="43"/>
  <c r="I66" i="36"/>
  <c r="O99" i="41"/>
  <c r="J28" i="88"/>
  <c r="J63" i="25"/>
  <c r="M63" i="54"/>
  <c r="O68" i="88"/>
  <c r="J105" i="40"/>
  <c r="J108" i="70"/>
  <c r="J84" i="90"/>
  <c r="E81" i="35"/>
  <c r="K34" i="88"/>
  <c r="F105" i="83"/>
  <c r="I66" i="76"/>
  <c r="G90" i="70"/>
  <c r="M96" i="45"/>
  <c r="G53" i="31"/>
  <c r="N90" i="91"/>
  <c r="F69" i="75"/>
  <c r="K99" i="55"/>
  <c r="O93" i="81"/>
  <c r="F75" i="85"/>
  <c r="I20" i="28"/>
  <c r="F49" i="88"/>
  <c r="K20" i="28"/>
  <c r="CY32" i="3"/>
  <c r="CJ98"/>
  <c r="CI113"/>
  <c r="CI87"/>
  <c r="O87" i="82"/>
  <c r="J93" i="54"/>
  <c r="J81" i="68"/>
  <c r="N84" i="44"/>
  <c r="J101" i="31"/>
  <c r="G78" i="36"/>
  <c r="K66" i="90"/>
  <c r="J38" i="37"/>
  <c r="N63" i="90"/>
  <c r="K7" i="88"/>
  <c r="D78" i="70"/>
  <c r="K105" i="44"/>
  <c r="J102" i="57"/>
  <c r="J24" i="28"/>
  <c r="I81" i="83"/>
  <c r="O81" i="60"/>
  <c r="K69" i="91"/>
  <c r="L24" i="31"/>
  <c r="K72" i="40"/>
  <c r="E84" i="45"/>
  <c r="H39" i="37"/>
  <c r="E99" i="41"/>
  <c r="J98" i="88"/>
  <c r="F87" i="56"/>
  <c r="E39" i="28"/>
  <c r="M11"/>
  <c r="H75" i="89"/>
  <c r="H73" i="88"/>
  <c r="E87" i="48"/>
  <c r="H75" i="58"/>
  <c r="O75" i="87"/>
  <c r="F78" i="49"/>
  <c r="G93" i="36"/>
  <c r="F33" i="96"/>
  <c r="H90" i="89"/>
  <c r="H88" i="88"/>
  <c r="H105" i="90"/>
  <c r="N35" i="37"/>
  <c r="G81" i="75"/>
  <c r="H89" i="88"/>
  <c r="J99" i="54"/>
  <c r="F99" i="25"/>
  <c r="E90" i="50"/>
  <c r="E104" i="28"/>
  <c r="E99" i="43"/>
  <c r="H26" i="31"/>
  <c r="E11" i="28"/>
  <c r="F87" i="19"/>
  <c r="J72" i="30"/>
  <c r="L84" i="70"/>
  <c r="M102" i="33"/>
  <c r="O84" i="66"/>
  <c r="I66" i="39"/>
  <c r="K18" i="31"/>
  <c r="N96" i="81"/>
  <c r="F74" i="37"/>
  <c r="E108" i="90"/>
  <c r="F63" i="83"/>
  <c r="F87" i="81"/>
  <c r="I99" i="86"/>
  <c r="L64" i="31"/>
  <c r="L66" i="32"/>
  <c r="N90" i="63"/>
  <c r="D87" i="29"/>
  <c r="D85" i="28"/>
  <c r="I81" i="70"/>
  <c r="D69" i="56"/>
  <c r="L87" i="41"/>
  <c r="I102" i="47"/>
  <c r="N72" i="46"/>
  <c r="K36" i="31"/>
  <c r="M72" i="65"/>
  <c r="H80" i="37"/>
  <c r="G105" i="36"/>
  <c r="I75" i="25"/>
  <c r="J81" i="70"/>
  <c r="G84" i="94"/>
  <c r="CD97" i="3"/>
  <c r="D63" i="78"/>
  <c r="K92" i="37"/>
  <c r="I81" i="57"/>
  <c r="I21" i="88"/>
  <c r="J96" i="62"/>
  <c r="L21" i="88"/>
  <c r="O63" i="62"/>
  <c r="J99" i="35"/>
  <c r="E96" i="72"/>
  <c r="E81" i="61"/>
  <c r="I108" i="82"/>
  <c r="O102" i="53"/>
  <c r="M87" i="66"/>
  <c r="L81" i="80"/>
  <c r="G90" i="69"/>
  <c r="F72" i="65"/>
  <c r="O15" i="37"/>
  <c r="H78" i="85"/>
  <c r="G50" i="37"/>
  <c r="E87" i="54"/>
  <c r="L80" i="37"/>
  <c r="H66" i="50"/>
  <c r="M87" i="80"/>
  <c r="L102" i="33"/>
  <c r="L96" i="67"/>
  <c r="E93" i="76"/>
  <c r="F96" i="54"/>
  <c r="O102" i="61"/>
  <c r="D90" i="84"/>
  <c r="I103" i="28"/>
  <c r="I105" i="29"/>
  <c r="N78" i="60"/>
  <c r="H72" i="26"/>
  <c r="I69" i="50"/>
  <c r="O108" i="48"/>
  <c r="H69" i="46"/>
  <c r="M84" i="72"/>
  <c r="I63" i="64"/>
  <c r="F81" i="60"/>
  <c r="M107" i="37"/>
  <c r="D81" i="43"/>
  <c r="O87" i="72"/>
  <c r="D108" i="45"/>
  <c r="I87" i="33"/>
  <c r="D63" i="86"/>
  <c r="M83" i="31"/>
  <c r="E81" i="56"/>
  <c r="J76" i="28"/>
  <c r="J78" i="29"/>
  <c r="K96" i="68"/>
  <c r="G93" i="71"/>
  <c r="D102" i="38"/>
  <c r="D100" i="37"/>
  <c r="E90" i="53"/>
  <c r="N105" i="67"/>
  <c r="K105" i="64"/>
  <c r="O69" i="62"/>
  <c r="N93" i="81"/>
  <c r="CG122" i="3"/>
  <c r="CV51"/>
  <c r="I69" i="35"/>
  <c r="J66" i="69"/>
  <c r="N93" i="53"/>
  <c r="N56" i="88"/>
  <c r="H84" i="79"/>
  <c r="I108" i="38"/>
  <c r="I106" i="37"/>
  <c r="H66" i="93"/>
  <c r="L72" i="53"/>
  <c r="L105" i="40"/>
  <c r="J72" i="92"/>
  <c r="J93" i="70"/>
  <c r="D36" i="28"/>
  <c r="K44" i="37"/>
  <c r="G88" i="88"/>
  <c r="G90" i="89"/>
  <c r="M72" i="68"/>
  <c r="H66" i="44"/>
  <c r="M87" i="87"/>
  <c r="I102" i="52"/>
  <c r="M30" i="28"/>
  <c r="O87" i="81"/>
  <c r="D81" i="38"/>
  <c r="D79" i="37"/>
  <c r="L75" i="74"/>
  <c r="J66" i="67"/>
  <c r="I7" i="31"/>
  <c r="N87" i="83"/>
  <c r="H78" i="63"/>
  <c r="M90" i="56"/>
  <c r="M49" i="28"/>
  <c r="G20" i="37"/>
  <c r="N84" i="53"/>
  <c r="G102" i="75"/>
  <c r="G49" i="28"/>
  <c r="I105" i="69"/>
  <c r="E14" i="37"/>
  <c r="M93" i="45"/>
  <c r="M75" i="51"/>
  <c r="D98" i="28"/>
  <c r="L84" i="82"/>
  <c r="F75" i="69"/>
  <c r="I34" i="37"/>
  <c r="M99" i="70"/>
  <c r="H33" i="88"/>
  <c r="M69" i="49"/>
  <c r="F75" i="33"/>
  <c r="M99" i="81"/>
  <c r="F43" i="28"/>
  <c r="H80" i="31"/>
  <c r="H99" i="58"/>
  <c r="O64" i="88"/>
  <c r="O66" i="89"/>
  <c r="F75" i="71"/>
  <c r="H29" i="31"/>
  <c r="K108" i="86"/>
  <c r="F66" i="56"/>
  <c r="K50" i="88"/>
  <c r="M72" i="80"/>
  <c r="D22" i="88"/>
  <c r="G66" i="57"/>
  <c r="L72" i="27"/>
  <c r="L10" i="31"/>
  <c r="J75" i="77"/>
  <c r="I99" i="94"/>
  <c r="F84" i="67"/>
  <c r="J63" i="35"/>
  <c r="O84" i="71"/>
  <c r="H9" i="37"/>
  <c r="G87" i="48"/>
  <c r="D12" i="31"/>
  <c r="K72" i="67"/>
  <c r="L87" i="64"/>
  <c r="M48" i="88"/>
  <c r="E95" i="37"/>
  <c r="E96" s="1"/>
  <c r="D81" i="62"/>
  <c r="M81" i="44"/>
  <c r="E93" i="71"/>
  <c r="G78" i="47"/>
  <c r="H108" i="33"/>
  <c r="M90" i="43"/>
  <c r="H99" i="59"/>
  <c r="N77" i="31"/>
  <c r="L93" i="32"/>
  <c r="L91" i="31"/>
  <c r="F84" i="62"/>
  <c r="N72" i="86"/>
  <c r="H30" i="28"/>
  <c r="I93" i="79"/>
  <c r="D21" i="88"/>
  <c r="O66" i="90"/>
  <c r="N47" i="31"/>
  <c r="CK3" i="3"/>
  <c r="I87" i="87"/>
  <c r="E108" i="93"/>
  <c r="F15" i="37"/>
  <c r="D90" i="53"/>
  <c r="H8" i="31"/>
  <c r="L76" i="88"/>
  <c r="L78" i="89"/>
  <c r="F108" i="68"/>
  <c r="H75" i="48"/>
  <c r="E72" i="75"/>
  <c r="K102" i="94"/>
  <c r="L87" i="81"/>
  <c r="G75" i="36"/>
  <c r="H78" i="43"/>
  <c r="M66" i="49"/>
  <c r="G84" i="76"/>
  <c r="K78" i="87"/>
  <c r="K63" i="58"/>
  <c r="J87" i="48"/>
  <c r="M102" i="74"/>
  <c r="K105" i="55"/>
  <c r="K96" i="82"/>
  <c r="H84" i="36"/>
  <c r="J84" i="62"/>
  <c r="D72" i="74"/>
  <c r="G90" i="91"/>
  <c r="H81" i="57"/>
  <c r="O66" i="72"/>
  <c r="F78" i="66"/>
  <c r="D63" i="60"/>
  <c r="G96" i="79"/>
  <c r="J87" i="84"/>
  <c r="H44" i="28"/>
  <c r="H94" i="31"/>
  <c r="H96" i="32"/>
  <c r="O69" i="43"/>
  <c r="F90" i="50"/>
  <c r="E75" i="89"/>
  <c r="E73" i="88"/>
  <c r="F72" i="77"/>
  <c r="F66" i="41"/>
  <c r="J69" i="71"/>
  <c r="M20" i="88"/>
  <c r="N13" i="37"/>
  <c r="M93" i="72"/>
  <c r="H96" i="91"/>
  <c r="K99" i="77"/>
  <c r="O78" i="40"/>
  <c r="J84" i="80"/>
  <c r="O105" i="59"/>
  <c r="F35" i="88"/>
  <c r="K91" i="28"/>
  <c r="K93" i="29"/>
  <c r="E78" i="66"/>
  <c r="D66" i="72"/>
  <c r="M78" i="71"/>
  <c r="H108" i="79"/>
  <c r="D63" i="29"/>
  <c r="D61" i="28"/>
  <c r="J108" i="89"/>
  <c r="J106" i="88"/>
  <c r="CP26" i="3"/>
  <c r="CA85"/>
  <c r="CA89" s="1"/>
  <c r="CG2"/>
  <c r="G72" i="47"/>
  <c r="O78" i="78"/>
  <c r="H81" i="27"/>
  <c r="I98" i="28"/>
  <c r="N78" i="86"/>
  <c r="J102" i="72"/>
  <c r="N63" i="44"/>
  <c r="H75" i="71"/>
  <c r="I69" i="78"/>
  <c r="N77" i="88"/>
  <c r="E12" i="31"/>
  <c r="CY73" i="3"/>
  <c r="CY74" s="1"/>
  <c r="O102" i="39"/>
  <c r="O57" i="88"/>
  <c r="M87" i="51"/>
  <c r="G78" i="74"/>
  <c r="E72" i="84"/>
  <c r="F105" i="78"/>
  <c r="J90" i="46"/>
  <c r="N58" i="88"/>
  <c r="H81" i="44"/>
  <c r="H102" i="53"/>
  <c r="O24" i="28"/>
  <c r="M90" i="55"/>
  <c r="J43" i="28"/>
  <c r="E69" i="67"/>
  <c r="J87" i="66"/>
  <c r="O108" i="90"/>
  <c r="M84" i="75"/>
  <c r="H90" i="27"/>
  <c r="E84" i="59"/>
  <c r="N81" i="49"/>
  <c r="O22" i="31"/>
  <c r="F87" i="27"/>
  <c r="G108" i="43"/>
  <c r="E108" i="58"/>
  <c r="N90" i="29"/>
  <c r="N88" i="28"/>
  <c r="N7" i="37"/>
  <c r="J35" i="31"/>
  <c r="H63" i="74"/>
  <c r="O81" i="19"/>
  <c r="D63" i="76"/>
  <c r="I90" i="35"/>
  <c r="F105" i="32"/>
  <c r="F103" i="31"/>
  <c r="N78" i="32"/>
  <c r="N76" i="31"/>
  <c r="K64" i="37"/>
  <c r="K66" i="38"/>
  <c r="O105" i="63"/>
  <c r="G90" i="75"/>
  <c r="H81" i="52"/>
  <c r="I93" i="81"/>
  <c r="I72" i="41"/>
  <c r="M90" i="72"/>
  <c r="D75" i="73"/>
  <c r="D72" i="80"/>
  <c r="M78" i="86"/>
  <c r="H69" i="40"/>
  <c r="K108" i="58"/>
  <c r="N90" i="73"/>
  <c r="E59" i="31"/>
  <c r="F102" i="50"/>
  <c r="F102" i="92"/>
  <c r="K75" i="91"/>
  <c r="L93" i="60"/>
  <c r="G84" i="83"/>
  <c r="E66" i="30"/>
  <c r="N72" i="40"/>
  <c r="D69" i="35"/>
  <c r="D84" i="82"/>
  <c r="L41" i="88"/>
  <c r="I45" i="31"/>
  <c r="E108" i="84"/>
  <c r="M66" i="86"/>
  <c r="I81" i="56"/>
  <c r="J84" i="59"/>
  <c r="L40" i="88"/>
  <c r="K52" i="31"/>
  <c r="O90" i="36"/>
  <c r="E16" i="37"/>
  <c r="E44"/>
  <c r="D69" i="76"/>
  <c r="D56" i="88"/>
  <c r="D93" i="59"/>
  <c r="F93"/>
  <c r="H81" i="86"/>
  <c r="J71" i="37"/>
  <c r="O72" i="62"/>
  <c r="O88" i="37"/>
  <c r="O90" i="38"/>
  <c r="L105" i="77"/>
  <c r="F46" i="31"/>
  <c r="L102" i="68"/>
  <c r="D69" i="70"/>
  <c r="M69" i="86"/>
  <c r="I33" i="31"/>
  <c r="L36" i="37"/>
  <c r="I72" i="60"/>
  <c r="N57" i="28"/>
  <c r="N102" i="51"/>
  <c r="E102" i="75"/>
  <c r="F56" i="28"/>
  <c r="J98"/>
  <c r="G51" i="37"/>
  <c r="E90" i="51"/>
  <c r="D72" i="82"/>
  <c r="K102" i="51"/>
  <c r="N102" i="74"/>
  <c r="D44" i="28"/>
  <c r="H99" i="73"/>
  <c r="N75"/>
  <c r="H84" i="45"/>
  <c r="I86" i="28"/>
  <c r="F10" i="88"/>
  <c r="L96" i="47"/>
  <c r="G102" i="58"/>
  <c r="J75" i="67"/>
  <c r="E69" i="87"/>
  <c r="D78" i="43"/>
  <c r="M68" i="31"/>
  <c r="K87" i="51"/>
  <c r="I28" i="37"/>
  <c r="M90" i="47"/>
  <c r="K39" i="28"/>
  <c r="N72" i="93"/>
  <c r="H87" i="29"/>
  <c r="H85" i="28"/>
  <c r="J105" i="68"/>
  <c r="M96" i="40"/>
  <c r="N18" i="28"/>
  <c r="G66" i="81"/>
  <c r="I66" i="30"/>
  <c r="N93" i="62"/>
  <c r="N96" i="91"/>
  <c r="D84" i="32"/>
  <c r="D82" i="31"/>
  <c r="D96" i="54"/>
  <c r="E75" i="26"/>
  <c r="I105" i="41"/>
  <c r="D101" i="37"/>
  <c r="J45" i="31"/>
  <c r="D37" i="22"/>
  <c r="E36"/>
  <c r="F36" s="1"/>
  <c r="I81" i="75"/>
  <c r="J72" i="63"/>
  <c r="D102" i="74"/>
  <c r="F87" i="40"/>
  <c r="M81" i="51"/>
  <c r="M72" i="49"/>
  <c r="H8" i="28"/>
  <c r="I93" i="44"/>
  <c r="G90" i="50"/>
  <c r="L96" i="83"/>
  <c r="N16" i="31"/>
  <c r="H96" i="67"/>
  <c r="M69" i="19"/>
  <c r="F99" i="77"/>
  <c r="H93" i="50"/>
  <c r="H21" i="31"/>
  <c r="F78" i="35"/>
  <c r="K53" i="31"/>
  <c r="H84" i="39"/>
  <c r="L33" i="31"/>
  <c r="K4"/>
  <c r="F72" i="91"/>
  <c r="I4" i="31"/>
  <c r="L105" i="58"/>
  <c r="O75" i="32"/>
  <c r="O73" i="31"/>
  <c r="D18" i="28"/>
  <c r="I108" i="69"/>
  <c r="I87" i="64"/>
  <c r="G66" i="48"/>
  <c r="D78" i="74"/>
  <c r="I59" i="28"/>
  <c r="G20" i="88"/>
  <c r="N81" i="91"/>
  <c r="E96" i="44"/>
  <c r="N99" i="80"/>
  <c r="L82" i="28"/>
  <c r="L84" i="29"/>
  <c r="L80" i="28"/>
  <c r="I93" i="83"/>
  <c r="H90" i="68"/>
  <c r="G99" i="30"/>
  <c r="K80" i="88"/>
  <c r="M87" i="91"/>
  <c r="K101" i="28"/>
  <c r="F66" i="74"/>
  <c r="H84" i="63"/>
  <c r="F105" i="92"/>
  <c r="O107" i="28"/>
  <c r="G9" i="31"/>
  <c r="K95"/>
  <c r="E75" i="72"/>
  <c r="G75" i="19"/>
  <c r="L78" i="30"/>
  <c r="J93" i="80"/>
  <c r="H94" i="37"/>
  <c r="H96" i="38"/>
  <c r="E39" i="31"/>
  <c r="L84" i="45"/>
  <c r="E83" i="31"/>
  <c r="H78" i="49"/>
  <c r="J7" i="28"/>
  <c r="M72" i="19"/>
  <c r="E84" i="82"/>
  <c r="K84" i="57"/>
  <c r="E52" i="88"/>
  <c r="D108" i="87"/>
  <c r="M93" i="27"/>
  <c r="I89" i="28"/>
  <c r="O72" i="63"/>
  <c r="L105" i="73"/>
  <c r="D63" i="56"/>
  <c r="M91" i="31"/>
  <c r="M93" i="32"/>
  <c r="F85" i="31"/>
  <c r="F87" i="32"/>
  <c r="J96" i="92"/>
  <c r="O66" i="40"/>
  <c r="N99" i="49"/>
  <c r="F78" i="43"/>
  <c r="H75" i="56"/>
  <c r="K69" i="87"/>
  <c r="D28" i="31"/>
  <c r="K67" i="88"/>
  <c r="K69" i="89"/>
  <c r="O96" i="33"/>
  <c r="N66" i="67"/>
  <c r="D63" i="58"/>
  <c r="L69" i="41"/>
  <c r="H90" i="54"/>
  <c r="N81" i="93"/>
  <c r="L54" i="88"/>
  <c r="J96" i="87"/>
  <c r="N87" i="55"/>
  <c r="F63" i="19"/>
  <c r="G99" i="46"/>
  <c r="J104" i="28"/>
  <c r="N90" i="90"/>
  <c r="O90" i="34"/>
  <c r="M102" i="32"/>
  <c r="M100" i="31"/>
  <c r="O21" i="88"/>
  <c r="G63" i="91"/>
  <c r="E80" i="31"/>
  <c r="G93" i="25"/>
  <c r="K105" i="84"/>
  <c r="F72" i="32"/>
  <c r="F70" i="31"/>
  <c r="F81" i="27"/>
  <c r="L96" i="72"/>
  <c r="L75" i="51"/>
  <c r="O39" i="88"/>
  <c r="E72" i="43"/>
  <c r="I40" i="31"/>
  <c r="G87" i="72"/>
  <c r="G105" i="43"/>
  <c r="L102" i="35"/>
  <c r="F87" i="52"/>
  <c r="M104" i="31"/>
  <c r="N52"/>
  <c r="J96" i="79"/>
  <c r="E19" i="88"/>
  <c r="L14" i="31"/>
  <c r="E104" i="37"/>
  <c r="H102" i="40"/>
  <c r="E38" i="88"/>
  <c r="L27" i="37"/>
  <c r="G81" i="82"/>
  <c r="H23" i="88"/>
  <c r="I78" i="53"/>
  <c r="J81" i="48"/>
  <c r="E102" i="79"/>
  <c r="F33" i="31"/>
  <c r="I63" i="76"/>
  <c r="M57" i="37"/>
  <c r="O99" i="77"/>
  <c r="D87" i="72"/>
  <c r="N81" i="63"/>
  <c r="D90" i="72"/>
  <c r="G108" i="39"/>
  <c r="G74" i="28"/>
  <c r="L72" i="26"/>
  <c r="E78" i="62"/>
  <c r="D102" i="94"/>
  <c r="N93" i="57"/>
  <c r="G93" i="80"/>
  <c r="J108" i="63"/>
  <c r="E56" i="31"/>
  <c r="G84" i="81"/>
  <c r="F108" i="59"/>
  <c r="I81" i="36"/>
  <c r="G57" i="88"/>
  <c r="H75" i="68"/>
  <c r="J90" i="41"/>
  <c r="L105" i="57"/>
  <c r="J84" i="55"/>
  <c r="L13" i="37"/>
  <c r="I102" i="50"/>
  <c r="G78" i="25"/>
  <c r="L90" i="76"/>
  <c r="O66" i="92"/>
  <c r="N34" i="88"/>
  <c r="G92" i="31"/>
  <c r="I108" i="79"/>
  <c r="D72" i="61"/>
  <c r="I93" i="45"/>
  <c r="E63" i="91"/>
  <c r="J99" i="75"/>
  <c r="G69" i="57"/>
  <c r="L87" i="91"/>
  <c r="G102" i="92"/>
  <c r="N93" i="66"/>
  <c r="I39" i="28"/>
  <c r="L17"/>
  <c r="H69" i="60"/>
  <c r="N105" i="72"/>
  <c r="J72" i="36"/>
  <c r="K84" i="19"/>
  <c r="L75" i="54"/>
  <c r="N78" i="59"/>
  <c r="F20" i="88"/>
  <c r="F93" i="53"/>
  <c r="I50" i="31"/>
  <c r="L96" i="60"/>
  <c r="O105" i="66"/>
  <c r="K54" i="31"/>
  <c r="F21" i="22"/>
  <c r="E21"/>
  <c r="J93" i="45"/>
  <c r="K38" i="88"/>
  <c r="G96" i="43"/>
  <c r="E84" i="74"/>
  <c r="E78" i="91"/>
  <c r="L97" i="28"/>
  <c r="L99" s="1"/>
  <c r="L99" i="29"/>
  <c r="G87" i="54"/>
  <c r="E96" i="27"/>
  <c r="E72" i="78"/>
  <c r="O87" i="30"/>
  <c r="H102" i="94"/>
  <c r="I21" i="28"/>
  <c r="N105" i="48"/>
  <c r="N66" i="25"/>
  <c r="L63" i="56"/>
  <c r="O78" i="83"/>
  <c r="K8" i="37"/>
  <c r="L72" i="54"/>
  <c r="F99" i="66"/>
  <c r="F69" i="72"/>
  <c r="E102" i="84"/>
  <c r="L58" i="37"/>
  <c r="N90" i="33"/>
  <c r="L105" i="89"/>
  <c r="L103" i="88"/>
  <c r="O81" i="87"/>
  <c r="J69" i="73"/>
  <c r="E96" i="65"/>
  <c r="L90" i="75"/>
  <c r="O90" i="81"/>
  <c r="M81" i="19"/>
  <c r="L27" i="88"/>
  <c r="M46"/>
  <c r="H87" i="90"/>
  <c r="G84" i="39"/>
  <c r="H14" i="96"/>
  <c r="L69" i="89"/>
  <c r="L67" i="88"/>
  <c r="I62" i="37"/>
  <c r="H84" i="60"/>
  <c r="O75" i="89"/>
  <c r="O73" i="88"/>
  <c r="J99" i="19"/>
  <c r="O49" i="88"/>
  <c r="K78" i="75"/>
  <c r="H108" i="76"/>
  <c r="M96" i="44"/>
  <c r="E78" i="48"/>
  <c r="H78" i="76"/>
  <c r="I90" i="26"/>
  <c r="K105" i="48"/>
  <c r="D97" i="31"/>
  <c r="D99" i="32"/>
  <c r="G30" i="37"/>
  <c r="E58" i="88"/>
  <c r="F90" i="41"/>
  <c r="G102" i="83"/>
  <c r="M75" i="53"/>
  <c r="L90" i="77"/>
  <c r="M99" i="90"/>
  <c r="E102" i="36"/>
  <c r="H66" i="66"/>
  <c r="G96" i="85"/>
  <c r="G105" i="68"/>
  <c r="N108" i="53"/>
  <c r="J9" i="28"/>
  <c r="H9" i="31"/>
  <c r="E81" i="63"/>
  <c r="I72" i="45"/>
  <c r="E17" i="37"/>
  <c r="M33"/>
  <c r="L102" i="25"/>
  <c r="D72" i="62"/>
  <c r="N81" i="74"/>
  <c r="E31" i="28"/>
  <c r="K81" i="69"/>
  <c r="I28" i="28"/>
  <c r="G24" i="88"/>
  <c r="G81" i="83"/>
  <c r="O90" i="77"/>
  <c r="K90" i="57"/>
  <c r="K105" i="59"/>
  <c r="L26" i="37"/>
  <c r="H105" i="87"/>
  <c r="L99" i="45"/>
  <c r="E108" i="60"/>
  <c r="M96" i="80"/>
  <c r="M78" i="77"/>
  <c r="H54" i="37"/>
  <c r="J87" i="56"/>
  <c r="N96" i="76"/>
  <c r="L87" i="87"/>
  <c r="E75" i="78"/>
  <c r="H32" i="88"/>
  <c r="F69" i="82"/>
  <c r="F28" i="96"/>
  <c r="N100" i="31"/>
  <c r="N102" i="32"/>
  <c r="D78" i="53"/>
  <c r="E108" i="86"/>
  <c r="F102" i="47"/>
  <c r="K63" i="62"/>
  <c r="I69" i="55"/>
  <c r="L63" i="86"/>
  <c r="I102" i="82"/>
  <c r="G87" i="29"/>
  <c r="G85" i="28"/>
  <c r="H102" i="26"/>
  <c r="N63" i="67"/>
  <c r="J78" i="40"/>
  <c r="J87" i="86"/>
  <c r="M48" i="28"/>
  <c r="H69" i="32"/>
  <c r="H67" i="31"/>
  <c r="F99" i="78"/>
  <c r="M66" i="89"/>
  <c r="M64" i="88"/>
  <c r="CX45" i="3"/>
  <c r="CI119"/>
  <c r="K91" i="88"/>
  <c r="K93" i="89"/>
  <c r="J4" i="37"/>
  <c r="M66" i="58"/>
  <c r="K84" i="90"/>
  <c r="H81" i="66"/>
  <c r="G87" i="67"/>
  <c r="M75" i="49"/>
  <c r="G108" i="90"/>
  <c r="O87" i="29"/>
  <c r="O85" i="28"/>
  <c r="J84" i="50"/>
  <c r="H81" i="82"/>
  <c r="G108" i="60"/>
  <c r="F81" i="73"/>
  <c r="I105" i="71"/>
  <c r="F7" i="31"/>
  <c r="I90" i="73"/>
  <c r="D96" i="74"/>
  <c r="H96" i="83"/>
  <c r="G99" i="36"/>
  <c r="D91" i="28"/>
  <c r="D93" i="29"/>
  <c r="G78" i="40"/>
  <c r="M81" i="54"/>
  <c r="F105" i="63"/>
  <c r="K101" i="88"/>
  <c r="M22" i="28"/>
  <c r="K96" i="77"/>
  <c r="BQ65" i="3"/>
  <c r="N31" i="28"/>
  <c r="D93" i="43"/>
  <c r="M63" i="62"/>
  <c r="M24" i="88"/>
  <c r="K105" i="39"/>
  <c r="K96" i="25"/>
  <c r="E61" i="31"/>
  <c r="E63" i="32"/>
  <c r="E34" i="31"/>
  <c r="O59" i="88"/>
  <c r="L27" i="28"/>
  <c r="N96" i="30"/>
  <c r="N8" i="88"/>
  <c r="I95"/>
  <c r="N50"/>
  <c r="G20" i="31"/>
  <c r="J16"/>
  <c r="K78" i="92"/>
  <c r="D75" i="66"/>
  <c r="F14" i="37"/>
  <c r="L37"/>
  <c r="E81" i="79"/>
  <c r="N108" i="64"/>
  <c r="E108" i="94"/>
  <c r="H6" i="31"/>
  <c r="K108" i="80"/>
  <c r="CF123" i="3"/>
  <c r="CU53"/>
  <c r="I66" i="85"/>
  <c r="D102" i="34"/>
  <c r="E27" i="28"/>
  <c r="M52" i="88"/>
  <c r="M75" i="43"/>
  <c r="K98" i="37"/>
  <c r="I102" i="62"/>
  <c r="N96" i="40"/>
  <c r="D72" i="39"/>
  <c r="K8" i="28"/>
  <c r="M66" i="62"/>
  <c r="G64" i="88"/>
  <c r="G66" i="89"/>
  <c r="F105" i="68"/>
  <c r="CP34" i="3"/>
  <c r="CA99"/>
  <c r="CA105" s="1"/>
  <c r="F99" i="34"/>
  <c r="M72" i="72"/>
  <c r="F93" i="34"/>
  <c r="L108" i="43"/>
  <c r="E44" i="31"/>
  <c r="J66" i="33"/>
  <c r="K93" i="35"/>
  <c r="K72" i="76"/>
  <c r="L66" i="57"/>
  <c r="F66" i="47"/>
  <c r="O81" i="63"/>
  <c r="N69"/>
  <c r="H90" i="71"/>
  <c r="L78" i="53"/>
  <c r="K107" i="31"/>
  <c r="K108" s="1"/>
  <c r="E84" i="58"/>
  <c r="O63" i="66"/>
  <c r="F69" i="84"/>
  <c r="I99" i="49"/>
  <c r="L63" i="89"/>
  <c r="L61" i="88"/>
  <c r="H28" i="96"/>
  <c r="D42" i="88"/>
  <c r="K87" i="33"/>
  <c r="L102" i="87"/>
  <c r="I63" i="56"/>
  <c r="O102" i="63"/>
  <c r="M90" i="91"/>
  <c r="E105" i="59"/>
  <c r="N87" i="53"/>
  <c r="L66" i="67"/>
  <c r="M68" i="37"/>
  <c r="M81" i="63"/>
  <c r="D78" i="48"/>
  <c r="L81" i="82"/>
  <c r="I87" i="58"/>
  <c r="G84" i="65"/>
  <c r="E27" i="88"/>
  <c r="M81" i="33"/>
  <c r="K90" i="62"/>
  <c r="D99" i="39"/>
  <c r="E15" i="37"/>
  <c r="G75" i="38"/>
  <c r="G73" i="37"/>
  <c r="L58" i="28"/>
  <c r="E4" i="88"/>
  <c r="F72" i="72"/>
  <c r="G84" i="58"/>
  <c r="K93" i="61"/>
  <c r="M27" i="37"/>
  <c r="J63" i="59"/>
  <c r="K108"/>
  <c r="J90" i="54"/>
  <c r="M27" i="31"/>
  <c r="N96" i="38"/>
  <c r="N94" i="37"/>
  <c r="I102" i="90"/>
  <c r="N66" i="39"/>
  <c r="D96" i="25"/>
  <c r="L75" i="55"/>
  <c r="H72" i="51"/>
  <c r="E66" i="26"/>
  <c r="E72" i="47"/>
  <c r="F22" i="88"/>
  <c r="M84" i="62"/>
  <c r="F102" i="33"/>
  <c r="I90" i="56"/>
  <c r="H72" i="27"/>
  <c r="O14" i="88"/>
  <c r="J66" i="86"/>
  <c r="L69" i="76"/>
  <c r="K72" i="60"/>
  <c r="I95" i="37"/>
  <c r="I63" i="41"/>
  <c r="K99" i="65"/>
  <c r="O84" i="72"/>
  <c r="N78" i="71"/>
  <c r="H18" i="37"/>
  <c r="G96" i="34"/>
  <c r="F96" i="40"/>
  <c r="L75" i="87"/>
  <c r="F64" i="37"/>
  <c r="F66" i="38"/>
  <c r="J66" i="83"/>
  <c r="E93" i="56"/>
  <c r="N83" i="37"/>
  <c r="O96" i="41"/>
  <c r="D99" i="64"/>
  <c r="I96" i="51"/>
  <c r="I81" i="79"/>
  <c r="H78" i="58"/>
  <c r="E75" i="34"/>
  <c r="N75" i="60"/>
  <c r="I75" i="81"/>
  <c r="O14" i="28"/>
  <c r="M6" i="31"/>
  <c r="CL98" i="3"/>
  <c r="E93" i="60"/>
  <c r="N90" i="43"/>
  <c r="O63" i="92"/>
  <c r="D66" i="83"/>
  <c r="J43" i="88"/>
  <c r="K84" i="34"/>
  <c r="H99" i="32"/>
  <c r="H97" i="31"/>
  <c r="M78" i="83"/>
  <c r="H96" i="35"/>
  <c r="F92" i="37"/>
  <c r="D75" i="82"/>
  <c r="O78" i="64"/>
  <c r="L87" i="70"/>
  <c r="O66" i="45"/>
  <c r="L99" i="81"/>
  <c r="M87" i="83"/>
  <c r="L102" i="51"/>
  <c r="K96" i="78"/>
  <c r="J21" i="88"/>
  <c r="N48" i="31"/>
  <c r="H81" i="34"/>
  <c r="J81" i="49"/>
  <c r="M9" i="28"/>
  <c r="D66" i="34"/>
  <c r="I69" i="87"/>
  <c r="J90" i="61"/>
  <c r="G87" i="77"/>
  <c r="N105" i="58"/>
  <c r="M78" i="81"/>
  <c r="E63" i="25"/>
  <c r="J50" i="31"/>
  <c r="I29"/>
  <c r="O16" i="37"/>
  <c r="F63" i="70"/>
  <c r="G96" i="64"/>
  <c r="H13" i="88"/>
  <c r="O78" i="54"/>
  <c r="N49" i="31"/>
  <c r="K71" i="37"/>
  <c r="O78" i="90"/>
  <c r="M54" i="37"/>
  <c r="I81" i="85"/>
  <c r="F93" i="29"/>
  <c r="F91" i="28"/>
  <c r="E72" i="79"/>
  <c r="O63" i="81"/>
  <c r="F99" i="54"/>
  <c r="N96" i="77"/>
  <c r="D18" i="88"/>
  <c r="I66" i="81"/>
  <c r="O76" i="31"/>
  <c r="O78" i="32"/>
  <c r="I105" i="33"/>
  <c r="O95" i="37"/>
  <c r="L53" i="28"/>
  <c r="J105" i="63"/>
  <c r="J102" i="84"/>
  <c r="N105" i="51"/>
  <c r="I105" i="78"/>
  <c r="L25" i="31"/>
  <c r="F69" i="33"/>
  <c r="M96" i="87"/>
  <c r="N96" i="60"/>
  <c r="L13" i="28"/>
  <c r="G102" i="94"/>
  <c r="O63" i="61"/>
  <c r="H63" i="26"/>
  <c r="E93" i="77"/>
  <c r="G93" i="47"/>
  <c r="J35" i="28"/>
  <c r="N66" i="81"/>
  <c r="N102" i="63"/>
  <c r="L72" i="70"/>
  <c r="I40" i="28"/>
  <c r="D63" i="90"/>
  <c r="L93" i="62"/>
  <c r="N63" i="75"/>
  <c r="DM27" i="3"/>
  <c r="H90" i="46"/>
  <c r="N90" i="54"/>
  <c r="J66" i="30"/>
  <c r="M72" i="63"/>
  <c r="G108" i="70"/>
  <c r="G67" i="31"/>
  <c r="G69" i="32"/>
  <c r="E46" i="37"/>
  <c r="E12" i="88"/>
  <c r="H48" i="37"/>
  <c r="E102" i="70"/>
  <c r="K69" i="54"/>
  <c r="M66" i="90"/>
  <c r="H78" i="36"/>
  <c r="M90" i="39"/>
  <c r="K102" i="36"/>
  <c r="D75" i="68"/>
  <c r="L81" i="60"/>
  <c r="F66" i="26"/>
  <c r="J66" i="56"/>
  <c r="H71" i="31"/>
  <c r="D45" i="28"/>
  <c r="K78" i="34"/>
  <c r="M11" i="88"/>
  <c r="M29" i="37"/>
  <c r="O90" i="75"/>
  <c r="M10" i="31"/>
  <c r="D26"/>
  <c r="M23" i="28"/>
  <c r="H72" i="84"/>
  <c r="K90" i="55"/>
  <c r="H99" i="76"/>
  <c r="E77" i="37"/>
  <c r="K90" i="80"/>
  <c r="N51" i="31"/>
  <c r="H6" i="88"/>
  <c r="G79"/>
  <c r="G81" i="89"/>
  <c r="J96" i="55"/>
  <c r="M102" i="65"/>
  <c r="O93" i="30"/>
  <c r="J12" i="88"/>
  <c r="M90" i="77"/>
  <c r="F56" i="88"/>
  <c r="D12" i="37"/>
  <c r="O72" i="46"/>
  <c r="L102" i="62"/>
  <c r="E105" i="38"/>
  <c r="E103" i="37"/>
  <c r="L93" i="26"/>
  <c r="N25" i="88"/>
  <c r="D108" i="48"/>
  <c r="N81" i="84"/>
  <c r="N41" i="37"/>
  <c r="D45" i="31"/>
  <c r="K75" i="53"/>
  <c r="H93" i="45"/>
  <c r="I68" i="31"/>
  <c r="G96" i="39"/>
  <c r="M93" i="65"/>
  <c r="F55" i="37"/>
  <c r="O41"/>
  <c r="J78" i="90"/>
  <c r="K75" i="87"/>
  <c r="F20" i="22"/>
  <c r="E20"/>
  <c r="G90" i="74"/>
  <c r="J78" i="34"/>
  <c r="H50" i="88"/>
  <c r="D58" i="28"/>
  <c r="G108" i="87"/>
  <c r="K69" i="83"/>
  <c r="O96" i="64"/>
  <c r="F98" i="28"/>
  <c r="M93" i="60"/>
  <c r="M78" i="19"/>
  <c r="I65" i="37"/>
  <c r="D70" i="88"/>
  <c r="D72" i="89"/>
  <c r="D63" i="36"/>
  <c r="G99" i="92"/>
  <c r="H87" i="52"/>
  <c r="L14" i="28"/>
  <c r="F85" i="88"/>
  <c r="F87" i="89"/>
  <c r="J78" i="43"/>
  <c r="I99" i="34"/>
  <c r="D99" i="35"/>
  <c r="K108" i="94"/>
  <c r="O19" i="37"/>
  <c r="K63" i="40"/>
  <c r="E72" i="72"/>
  <c r="G32" i="28"/>
  <c r="D35"/>
  <c r="I93" i="52"/>
  <c r="L99" i="57"/>
  <c r="CP56" i="3"/>
  <c r="F81" i="61"/>
  <c r="J96" i="36"/>
  <c r="F108" i="72"/>
  <c r="E66" i="82"/>
  <c r="H25" i="37"/>
  <c r="E63" i="57"/>
  <c r="O90" i="61"/>
  <c r="H79" i="37"/>
  <c r="H81" i="38"/>
  <c r="O61" i="88"/>
  <c r="O63" i="89"/>
  <c r="G51" i="31"/>
  <c r="F83" i="37"/>
  <c r="F108" i="34"/>
  <c r="H108" i="19"/>
  <c r="I108" i="78"/>
  <c r="F66" i="94"/>
  <c r="E87" i="55"/>
  <c r="H105"/>
  <c r="H96" i="66"/>
  <c r="H74" i="88"/>
  <c r="H72" i="91"/>
  <c r="E72" i="85"/>
  <c r="J99" i="89"/>
  <c r="J97" i="88"/>
  <c r="F87" i="36"/>
  <c r="E102" i="60"/>
  <c r="I75" i="39"/>
  <c r="L63" i="26"/>
  <c r="L69" i="93"/>
  <c r="CO71" i="3"/>
  <c r="CO72" s="1"/>
  <c r="K32" i="31"/>
  <c r="I72" i="25"/>
  <c r="L87" i="93"/>
  <c r="N63" i="87"/>
  <c r="O99" i="92"/>
  <c r="K66" i="53"/>
  <c r="J72"/>
  <c r="N90" i="78"/>
  <c r="H84" i="44"/>
  <c r="L4" i="31"/>
  <c r="H99" i="52"/>
  <c r="J99" i="94"/>
  <c r="H80" i="88"/>
  <c r="G102" i="69"/>
  <c r="G54" i="88"/>
  <c r="M80" i="28"/>
  <c r="F54" i="31"/>
  <c r="M62"/>
  <c r="K99" i="36"/>
  <c r="E72" i="86"/>
  <c r="K88" i="37"/>
  <c r="K90" i="38"/>
  <c r="E81" i="77"/>
  <c r="CT73" i="3"/>
  <c r="CT74" s="1"/>
  <c r="N108" i="47"/>
  <c r="D99" i="70"/>
  <c r="CK114" i="3"/>
  <c r="CZ31"/>
  <c r="CK94"/>
  <c r="D66" i="59"/>
  <c r="D72" i="52"/>
  <c r="D105" i="68"/>
  <c r="F99" i="42"/>
  <c r="J63" i="62"/>
  <c r="D75"/>
  <c r="F95" i="28"/>
  <c r="H90" i="92"/>
  <c r="K66" i="77"/>
  <c r="F84" i="70"/>
  <c r="I68" i="37"/>
  <c r="K79" i="31"/>
  <c r="K81" i="32"/>
  <c r="H105" i="38"/>
  <c r="H103" i="37"/>
  <c r="M63" i="43"/>
  <c r="E105" i="33"/>
  <c r="E84" i="86"/>
  <c r="O96" i="25"/>
  <c r="I63" i="77"/>
  <c r="K63" i="86"/>
  <c r="F94" i="31"/>
  <c r="F96" s="1"/>
  <c r="F96" i="32"/>
  <c r="H69" i="59"/>
  <c r="J105" i="36"/>
  <c r="H81" i="74"/>
  <c r="K78" i="70"/>
  <c r="I75" i="67"/>
  <c r="M84" i="27"/>
  <c r="D81" i="86"/>
  <c r="J69" i="69"/>
  <c r="L78" i="64"/>
  <c r="O87" i="60"/>
  <c r="M75" i="82"/>
  <c r="J105" i="43"/>
  <c r="O105" i="26"/>
  <c r="O26" i="31"/>
  <c r="D87" i="57"/>
  <c r="L87" i="67"/>
  <c r="O100" i="88"/>
  <c r="O102" i="89"/>
  <c r="D93" i="62"/>
  <c r="J46" i="31"/>
  <c r="O51" i="37"/>
  <c r="D47"/>
  <c r="K90" i="74"/>
  <c r="G96" i="48"/>
  <c r="G90" i="27"/>
  <c r="I75" i="82"/>
  <c r="CB113" i="3"/>
  <c r="CQ27"/>
  <c r="CB87"/>
  <c r="E108" i="35"/>
  <c r="K6" i="37"/>
  <c r="I81" i="65"/>
  <c r="G78" i="49"/>
  <c r="M94" i="31"/>
  <c r="M96" i="32"/>
  <c r="G99" i="33"/>
  <c r="D108" i="94"/>
  <c r="I105"/>
  <c r="G78" i="66"/>
  <c r="O10" i="37"/>
  <c r="F72" i="90"/>
  <c r="M47" i="28"/>
  <c r="F102" i="54"/>
  <c r="M81" i="72"/>
  <c r="H84" i="81"/>
  <c r="E96" i="87"/>
  <c r="D108" i="60"/>
  <c r="F44" i="37"/>
  <c r="O45" i="31"/>
  <c r="J63" i="44"/>
  <c r="F108" i="78"/>
  <c r="I67" i="37"/>
  <c r="I69" s="1"/>
  <c r="I69" i="38"/>
  <c r="J9" i="31"/>
  <c r="L37" i="88"/>
  <c r="J88" i="31"/>
  <c r="J90" i="32"/>
  <c r="N69" i="43"/>
  <c r="O63" i="33"/>
  <c r="K82" i="28"/>
  <c r="K84" i="29"/>
  <c r="L102" i="40"/>
  <c r="G78" i="51"/>
  <c r="J34" i="37"/>
  <c r="M102" i="93"/>
  <c r="E99" i="83"/>
  <c r="G63" i="52"/>
  <c r="K96" i="69"/>
  <c r="O82" i="31"/>
  <c r="O84" i="32"/>
  <c r="F78" i="56"/>
  <c r="M87" i="34"/>
  <c r="I52" i="28"/>
  <c r="I52" i="24" s="1"/>
  <c r="G75" i="85"/>
  <c r="G81" i="74"/>
  <c r="O87" i="45"/>
  <c r="G69" i="85"/>
  <c r="O71" i="37"/>
  <c r="O78" i="94"/>
  <c r="G63" i="33"/>
  <c r="O35" i="28"/>
  <c r="G93" i="39"/>
  <c r="I69" i="34"/>
  <c r="K81" i="66"/>
  <c r="CJ119" i="3"/>
  <c r="CY45"/>
  <c r="H41" i="37"/>
  <c r="D78" i="92"/>
  <c r="H64" i="28"/>
  <c r="H66" i="29"/>
  <c r="J64" i="31"/>
  <c r="J66" i="32"/>
  <c r="O75" i="92"/>
  <c r="I66" i="57"/>
  <c r="F67" i="31"/>
  <c r="F69" i="32"/>
  <c r="F78" i="82"/>
  <c r="I53" i="31"/>
  <c r="I69" i="39"/>
  <c r="BN65" i="3"/>
  <c r="H105" i="94"/>
  <c r="F96" i="50"/>
  <c r="E63" i="26"/>
  <c r="I89" i="88"/>
  <c r="D81" i="61"/>
  <c r="J81" i="82"/>
  <c r="K87" i="32"/>
  <c r="K85" i="31"/>
  <c r="D77" i="37"/>
  <c r="I108" i="91"/>
  <c r="K79" i="37"/>
  <c r="K81" i="38"/>
  <c r="M69" i="36"/>
  <c r="H69" i="81"/>
  <c r="M69" i="34"/>
  <c r="G21" i="28"/>
  <c r="H90" i="87"/>
  <c r="H108" i="44"/>
  <c r="CK2" i="3"/>
  <c r="CK8" s="1"/>
  <c r="D12" i="88"/>
  <c r="N72" i="30"/>
  <c r="K99" i="60"/>
  <c r="D75" i="48"/>
  <c r="D84" i="93"/>
  <c r="L75" i="39"/>
  <c r="F90" i="79"/>
  <c r="G7" i="31"/>
  <c r="K78" i="68"/>
  <c r="F99" i="55"/>
  <c r="O17" i="37"/>
  <c r="E66" i="34"/>
  <c r="K102" i="84"/>
  <c r="G105" i="76"/>
  <c r="J93" i="30"/>
  <c r="K84" i="40"/>
  <c r="O105" i="60"/>
  <c r="L99" i="51"/>
  <c r="K69" i="43"/>
  <c r="O63" i="49"/>
  <c r="M72" i="71"/>
  <c r="D66" i="61"/>
  <c r="L81" i="30"/>
  <c r="L102" i="55"/>
  <c r="I84" i="81"/>
  <c r="N105" i="66"/>
  <c r="N105" i="84"/>
  <c r="M69" i="25"/>
  <c r="CK85" i="3"/>
  <c r="G66" i="27"/>
  <c r="O61" i="28"/>
  <c r="O63" i="29"/>
  <c r="F87" i="86"/>
  <c r="D96" i="93"/>
  <c r="I108" i="40"/>
  <c r="E69" i="84"/>
  <c r="N93" i="54"/>
  <c r="H87" i="45"/>
  <c r="J102" i="79"/>
  <c r="D102" i="83"/>
  <c r="F8" i="37"/>
  <c r="O93" i="84"/>
  <c r="E96" i="30"/>
  <c r="L40" i="31"/>
  <c r="CD85" i="3"/>
  <c r="O108" i="49"/>
  <c r="F98" i="31"/>
  <c r="I63" i="93"/>
  <c r="E90" i="75"/>
  <c r="D66" i="86"/>
  <c r="D90" i="78"/>
  <c r="F58" i="37"/>
  <c r="H105" i="40"/>
  <c r="O66" i="63"/>
  <c r="K9" i="88"/>
  <c r="I102" i="74"/>
  <c r="M59" i="28"/>
  <c r="F63" i="78"/>
  <c r="N81" i="30"/>
  <c r="I66" i="41"/>
  <c r="N105" i="60"/>
  <c r="CD2" i="3"/>
  <c r="CD6" s="1"/>
  <c r="F105" i="51"/>
  <c r="I63" i="65"/>
  <c r="K99" i="56"/>
  <c r="D105" i="90"/>
  <c r="L96" i="55"/>
  <c r="J93" i="60"/>
  <c r="I51" i="88"/>
  <c r="I87" i="34"/>
  <c r="L78" i="60"/>
  <c r="N105" i="77"/>
  <c r="J108" i="92"/>
  <c r="N93" i="58"/>
  <c r="D93" i="75"/>
  <c r="G93" i="69"/>
  <c r="O81" i="64"/>
  <c r="L57" i="88"/>
  <c r="L108" i="41"/>
  <c r="H66" i="52"/>
  <c r="M87" i="93"/>
  <c r="H96" i="74"/>
  <c r="L90" i="90"/>
  <c r="D75" i="40"/>
  <c r="K108" i="44"/>
  <c r="M75" i="91"/>
  <c r="E48" i="31"/>
  <c r="M87" i="64"/>
  <c r="L102" i="60"/>
  <c r="J81" i="67"/>
  <c r="O86" i="31"/>
  <c r="F87" i="46"/>
  <c r="H78" i="90"/>
  <c r="G63" i="58"/>
  <c r="F78" i="80"/>
  <c r="K105" i="38"/>
  <c r="K103" i="37"/>
  <c r="J9" i="88"/>
  <c r="L80"/>
  <c r="I91" i="31"/>
  <c r="I93" i="32"/>
  <c r="D99" i="59"/>
  <c r="M78" i="36"/>
  <c r="E69" i="48"/>
  <c r="D39" i="28"/>
  <c r="D72" i="73"/>
  <c r="M13" i="37"/>
  <c r="M108" i="41"/>
  <c r="K95" i="88"/>
  <c r="O32" i="31"/>
  <c r="I102" i="38"/>
  <c r="I100" i="37"/>
  <c r="M102" i="41"/>
  <c r="N23" i="31"/>
  <c r="E52" i="28"/>
  <c r="N26"/>
  <c r="F87" i="59"/>
  <c r="N29" i="88"/>
  <c r="F16" i="37"/>
  <c r="F99" i="86"/>
  <c r="E49" i="28"/>
  <c r="N96" i="84"/>
  <c r="F43" i="88"/>
  <c r="M99" i="58"/>
  <c r="J72" i="49"/>
  <c r="J96" i="59"/>
  <c r="I84" i="89"/>
  <c r="I82" i="88"/>
  <c r="D99" i="52"/>
  <c r="N108" i="77"/>
  <c r="J99" i="70"/>
  <c r="E93" i="43"/>
  <c r="D65" i="31"/>
  <c r="J72" i="74"/>
  <c r="F26" i="28"/>
  <c r="E96" i="79"/>
  <c r="N20" i="28"/>
  <c r="N66" i="74"/>
  <c r="L53" i="88"/>
  <c r="F57" i="37"/>
  <c r="D75" i="25"/>
  <c r="D93" i="39"/>
  <c r="D108" i="72"/>
  <c r="G81" i="71"/>
  <c r="J96" i="76"/>
  <c r="D90" i="35"/>
  <c r="J12" i="28"/>
  <c r="I105" i="79"/>
  <c r="K72" i="65"/>
  <c r="O108" i="91"/>
  <c r="M84" i="74"/>
  <c r="H96" i="87"/>
  <c r="H87" i="42"/>
  <c r="M108" i="38"/>
  <c r="M106" i="37"/>
  <c r="H102" i="91"/>
  <c r="O99" i="58"/>
  <c r="D66" i="45"/>
  <c r="O84" i="48"/>
  <c r="H102" i="47"/>
  <c r="M17" i="28"/>
  <c r="O79"/>
  <c r="O81" i="29"/>
  <c r="O105" i="30"/>
  <c r="G102" i="90"/>
  <c r="K90" i="64"/>
  <c r="O93" i="91"/>
  <c r="E87" i="61"/>
  <c r="N105" i="73"/>
  <c r="N30" i="28"/>
  <c r="G10" i="88"/>
  <c r="J84" i="57"/>
  <c r="I108" i="81"/>
  <c r="K87" i="49"/>
  <c r="I72" i="75"/>
  <c r="H66" i="33"/>
  <c r="K69" i="86"/>
  <c r="M108" i="39"/>
  <c r="L66" i="27"/>
  <c r="E84" i="38"/>
  <c r="E82" i="37"/>
  <c r="H69" i="94"/>
  <c r="H102" i="79"/>
  <c r="F99" i="75"/>
  <c r="J99" i="40"/>
  <c r="K90" i="70"/>
  <c r="L102" i="56"/>
  <c r="E63" i="64"/>
  <c r="I99" i="63"/>
  <c r="O66" i="93"/>
  <c r="E87" i="85"/>
  <c r="O99" i="73"/>
  <c r="H81" i="68"/>
  <c r="L62" i="37"/>
  <c r="F81" i="38"/>
  <c r="F79" i="37"/>
  <c r="J81" i="46"/>
  <c r="H84" i="67"/>
  <c r="F58" i="31"/>
  <c r="H78" i="84"/>
  <c r="L19" i="28"/>
  <c r="H78" i="86"/>
  <c r="M15" i="28"/>
  <c r="F99" i="59"/>
  <c r="J105" i="25"/>
  <c r="K105" i="67"/>
  <c r="CE95" i="3"/>
  <c r="CE115"/>
  <c r="J81" i="38"/>
  <c r="J79" i="37"/>
  <c r="O90" i="93"/>
  <c r="I75" i="42"/>
  <c r="K72" i="80"/>
  <c r="L99" i="74"/>
  <c r="L108" i="60"/>
  <c r="H102" i="59"/>
  <c r="L75" i="19"/>
  <c r="O23" i="88"/>
  <c r="N90" i="76"/>
  <c r="D66" i="58"/>
  <c r="J87" i="78"/>
  <c r="K69" i="70"/>
  <c r="CX37" i="3"/>
  <c r="CI116"/>
  <c r="M105" i="30"/>
  <c r="H49" i="37"/>
  <c r="H72" i="50"/>
  <c r="O102" i="46"/>
  <c r="N72" i="87"/>
  <c r="E87" i="43"/>
  <c r="E48" i="88"/>
  <c r="N31" i="31"/>
  <c r="I63" i="90"/>
  <c r="M72" i="56"/>
  <c r="E102" i="33"/>
  <c r="I87" i="49"/>
  <c r="O93" i="86"/>
  <c r="D93" i="30"/>
  <c r="Y14" i="96"/>
  <c r="F96" i="77"/>
  <c r="D78" i="54"/>
  <c r="G78" i="19"/>
  <c r="G75" i="77"/>
  <c r="O72" i="78"/>
  <c r="F22" i="28"/>
  <c r="F27" i="88"/>
  <c r="F7"/>
  <c r="G13" i="37"/>
  <c r="G102" i="36"/>
  <c r="I78" i="39"/>
  <c r="E65" i="37"/>
  <c r="J90" i="90"/>
  <c r="I99" i="65"/>
  <c r="K96" i="19"/>
  <c r="K81" i="30"/>
  <c r="K72" i="49"/>
  <c r="N102" i="53"/>
  <c r="H84" i="73"/>
  <c r="K74" i="28"/>
  <c r="K96" i="65"/>
  <c r="N69" i="26"/>
  <c r="D78" i="73"/>
  <c r="M63" i="90"/>
  <c r="E72" i="65"/>
  <c r="E99" i="53"/>
  <c r="J63" i="58"/>
  <c r="I19" i="37"/>
  <c r="F84" i="27"/>
  <c r="E108" i="57"/>
  <c r="O108" i="70"/>
  <c r="D63" i="50"/>
  <c r="F99" i="48"/>
  <c r="F66" i="68"/>
  <c r="J72" i="73"/>
  <c r="I5" i="28"/>
  <c r="I69" i="46"/>
  <c r="D108" i="76"/>
  <c r="O44" i="31"/>
  <c r="J90" i="55"/>
  <c r="H21" i="28"/>
  <c r="L46"/>
  <c r="N99" i="56"/>
  <c r="F66" i="69"/>
  <c r="N36" i="28"/>
  <c r="N91" i="37"/>
  <c r="N93" i="38"/>
  <c r="I69" i="57"/>
  <c r="J78" i="80"/>
  <c r="F84" i="54"/>
  <c r="F69" i="40"/>
  <c r="N102" i="67"/>
  <c r="E96" i="52"/>
  <c r="F90" i="26"/>
  <c r="F69" i="81"/>
  <c r="E71" i="88"/>
  <c r="L96" i="48"/>
  <c r="N57" i="37"/>
  <c r="I78" i="68"/>
  <c r="I99" i="39"/>
  <c r="E71" i="28"/>
  <c r="M71"/>
  <c r="F93" i="79"/>
  <c r="E63" i="44"/>
  <c r="F105" i="64"/>
  <c r="O93" i="33"/>
  <c r="G75" i="35"/>
  <c r="O69" i="19"/>
  <c r="N72" i="25"/>
  <c r="E102" i="66"/>
  <c r="F25" i="88"/>
  <c r="I36" i="28"/>
  <c r="D105" i="69"/>
  <c r="K78" i="44"/>
  <c r="H7" i="37"/>
  <c r="L90" i="63"/>
  <c r="L84" i="53"/>
  <c r="G108" i="35"/>
  <c r="J83" i="28"/>
  <c r="M108" i="61"/>
  <c r="J96" i="63"/>
  <c r="G27" i="37"/>
  <c r="O97" i="28"/>
  <c r="O99" i="29"/>
  <c r="I10" i="31"/>
  <c r="E78" i="36"/>
  <c r="H75" i="81"/>
  <c r="D108" i="47"/>
  <c r="L90" i="62"/>
  <c r="D93" i="38"/>
  <c r="D91" i="37"/>
  <c r="CG96" i="3"/>
  <c r="N105" i="61"/>
  <c r="E66" i="53"/>
  <c r="O108" i="58"/>
  <c r="G54" i="37"/>
  <c r="J84" i="94"/>
  <c r="O90" i="59"/>
  <c r="L69" i="91"/>
  <c r="E69" i="63"/>
  <c r="D90" i="86"/>
  <c r="J75" i="84"/>
  <c r="J93" i="83"/>
  <c r="E101" i="28"/>
  <c r="K78" i="54"/>
  <c r="I77" i="37"/>
  <c r="K105" i="70"/>
  <c r="O101" i="88"/>
  <c r="K72" i="63"/>
  <c r="L81" i="49"/>
  <c r="H27" i="31"/>
  <c r="H99" i="75"/>
  <c r="J12" i="31"/>
  <c r="F63" i="77"/>
  <c r="L90" i="78"/>
  <c r="I93" i="46"/>
  <c r="L96" i="91"/>
  <c r="K84" i="46"/>
  <c r="J102" i="94"/>
  <c r="F96" i="41"/>
  <c r="K78" i="61"/>
  <c r="L69" i="29"/>
  <c r="L67" i="28"/>
  <c r="G81" i="91"/>
  <c r="O108" i="83"/>
  <c r="D32" i="28"/>
  <c r="J87" i="46"/>
  <c r="M63" i="74"/>
  <c r="G93" i="51"/>
  <c r="O105" i="46"/>
  <c r="CE116" i="3"/>
  <c r="CT37"/>
  <c r="J53" i="37"/>
  <c r="O78" i="45"/>
  <c r="L105" i="94"/>
  <c r="D87" i="74"/>
  <c r="D34" i="28"/>
  <c r="M63" i="72"/>
  <c r="O66" i="43"/>
  <c r="I102" i="56"/>
  <c r="M75" i="40"/>
  <c r="N87" i="45"/>
  <c r="J90" i="83"/>
  <c r="N10" i="28"/>
  <c r="O78" i="60"/>
  <c r="O105" i="41"/>
  <c r="O95" i="88"/>
  <c r="M99" i="78"/>
  <c r="N54" i="31"/>
  <c r="K90" i="30"/>
  <c r="E93" i="59"/>
  <c r="L66" i="61"/>
  <c r="L99" i="69"/>
  <c r="M69" i="71"/>
  <c r="E87"/>
  <c r="I75" i="35"/>
  <c r="E55" i="31"/>
  <c r="D86" i="37"/>
  <c r="D102" i="55"/>
  <c r="J93" i="69"/>
  <c r="E78" i="39"/>
  <c r="I105" i="85"/>
  <c r="J87" i="54"/>
  <c r="L90"/>
  <c r="L78" i="47"/>
  <c r="L63" i="74"/>
  <c r="H55" i="31"/>
  <c r="G102" i="33"/>
  <c r="F10" i="37"/>
  <c r="M17" i="88"/>
  <c r="I105" i="82"/>
  <c r="G72" i="39"/>
  <c r="F102" i="26"/>
  <c r="J78" i="83"/>
  <c r="J81" i="36"/>
  <c r="K105" i="66"/>
  <c r="G33" i="28"/>
  <c r="O105" i="90"/>
  <c r="L63" i="39"/>
  <c r="E96" i="63"/>
  <c r="K56" i="88"/>
  <c r="J96" i="58"/>
  <c r="D90" i="44"/>
  <c r="E57" i="28"/>
  <c r="D93" i="92"/>
  <c r="F102" i="27"/>
  <c r="N78"/>
  <c r="K62" i="88"/>
  <c r="L69" i="35"/>
  <c r="I102" i="51"/>
  <c r="O93" i="73"/>
  <c r="M66" i="71"/>
  <c r="J18" i="37"/>
  <c r="N100" i="28"/>
  <c r="N102" i="29"/>
  <c r="D66" i="19"/>
  <c r="I99" i="25"/>
  <c r="F72" i="60"/>
  <c r="L102" i="32"/>
  <c r="L100" i="31"/>
  <c r="L90" i="19"/>
  <c r="M78" i="54"/>
  <c r="K93" i="83"/>
  <c r="J78" i="61"/>
  <c r="M66" i="67"/>
  <c r="G99" i="65"/>
  <c r="K87" i="34"/>
  <c r="N93" i="83"/>
  <c r="H20" i="28"/>
  <c r="K49" i="37"/>
  <c r="F72" i="33"/>
  <c r="N99" i="75"/>
  <c r="J105" i="19"/>
  <c r="H102" i="60"/>
  <c r="G69" i="39"/>
  <c r="O78" i="27"/>
  <c r="N105" i="75"/>
  <c r="G93" i="56"/>
  <c r="J102" i="89"/>
  <c r="J100" i="88"/>
  <c r="J78" i="91"/>
  <c r="E89" i="88"/>
  <c r="K75" i="51"/>
  <c r="O34" i="37"/>
  <c r="D84" i="58"/>
  <c r="M93" i="49"/>
  <c r="E87" i="47"/>
  <c r="O50" i="37"/>
  <c r="M63" i="86"/>
  <c r="J36" i="37"/>
  <c r="M99" i="45"/>
  <c r="D87" i="92"/>
  <c r="H72" i="79"/>
  <c r="O87" i="59"/>
  <c r="O87" i="70"/>
  <c r="E8" i="31"/>
  <c r="E75" i="71"/>
  <c r="G97" i="37"/>
  <c r="G99" i="38"/>
  <c r="O75" i="86"/>
  <c r="K78" i="26"/>
  <c r="D81" i="91"/>
  <c r="K66" i="71"/>
  <c r="L31" i="28"/>
  <c r="K69" i="61"/>
  <c r="CF122" i="3"/>
  <c r="N78" i="41"/>
  <c r="I102" i="61"/>
  <c r="H17" i="37"/>
  <c r="M107" i="28"/>
  <c r="H81" i="87"/>
  <c r="N21" i="88"/>
  <c r="I105" i="87"/>
  <c r="L63" i="82"/>
  <c r="F108" i="48"/>
  <c r="G78" i="77"/>
  <c r="G102" i="38"/>
  <c r="G100" i="37"/>
  <c r="O63" i="34"/>
  <c r="M102" i="64"/>
  <c r="F93" i="75"/>
  <c r="H19" i="37"/>
  <c r="L108" i="26"/>
  <c r="H75" i="75"/>
  <c r="L69" i="71"/>
  <c r="N102" i="34"/>
  <c r="M28" i="31"/>
  <c r="G59" i="37"/>
  <c r="O69" i="46"/>
  <c r="O99" i="78"/>
  <c r="D78" i="55"/>
  <c r="O46" i="31"/>
  <c r="K72" i="19"/>
  <c r="K5" i="28"/>
  <c r="I42"/>
  <c r="N81" i="65"/>
  <c r="F16" i="31"/>
  <c r="L99" i="19"/>
  <c r="G77" i="28"/>
  <c r="K84" i="58"/>
  <c r="L44" i="88"/>
  <c r="L78" i="69"/>
  <c r="H84" i="86"/>
  <c r="N99" i="76"/>
  <c r="L66" i="47"/>
  <c r="F93" i="26"/>
  <c r="F66" i="34"/>
  <c r="G75" i="40"/>
  <c r="K93" i="57"/>
  <c r="D54" i="88"/>
  <c r="O49" i="37"/>
  <c r="J89" i="28"/>
  <c r="D84" i="47"/>
  <c r="H105" i="54"/>
  <c r="E90" i="44"/>
  <c r="K63" i="82"/>
  <c r="I96" i="61"/>
  <c r="D99" i="74"/>
  <c r="G29" i="31"/>
  <c r="H87" i="80"/>
  <c r="N63" i="65"/>
  <c r="N15" i="31"/>
  <c r="I84" i="90"/>
  <c r="H40" i="28"/>
  <c r="E66" i="77"/>
  <c r="F96" i="30"/>
  <c r="J66" i="51"/>
  <c r="I13" i="88"/>
  <c r="L96" i="51"/>
  <c r="K69" i="26"/>
  <c r="I102" i="69"/>
  <c r="I78" i="55"/>
  <c r="D69" i="63"/>
  <c r="E81" i="64"/>
  <c r="I33" i="88"/>
  <c r="J75" i="82"/>
  <c r="K96" i="26"/>
  <c r="D80" i="37"/>
  <c r="M90" i="78"/>
  <c r="C37" i="22"/>
  <c r="I108" i="83"/>
  <c r="O99" i="46"/>
  <c r="J81" i="65"/>
  <c r="O84" i="63"/>
  <c r="K75" i="48"/>
  <c r="I42" i="37"/>
  <c r="H69" i="33"/>
  <c r="E99" i="27"/>
  <c r="L48" i="37"/>
  <c r="F72" i="34"/>
  <c r="K84" i="51"/>
  <c r="K93" i="46"/>
  <c r="I87" i="75"/>
  <c r="O75" i="40"/>
  <c r="F75" i="74"/>
  <c r="K93" i="58"/>
  <c r="E21" i="28"/>
  <c r="D78" i="58"/>
  <c r="DA47" i="3"/>
  <c r="CL120"/>
  <c r="L78" i="65"/>
  <c r="D102"/>
  <c r="K52" i="88"/>
  <c r="G69" i="53"/>
  <c r="K81" i="73"/>
  <c r="M99" i="56"/>
  <c r="K45" i="88"/>
  <c r="I90" i="93"/>
  <c r="H66" i="60"/>
  <c r="I87" i="35"/>
  <c r="H102" i="89"/>
  <c r="H100" i="88"/>
  <c r="F28" i="31"/>
  <c r="M74"/>
  <c r="H93" i="46"/>
  <c r="N84" i="33"/>
  <c r="I102" i="44"/>
  <c r="I62" i="28"/>
  <c r="I72" i="33"/>
  <c r="F35" i="28"/>
  <c r="J99" i="58"/>
  <c r="J31" i="31"/>
  <c r="O8" i="88"/>
  <c r="H72" i="70"/>
  <c r="J87" i="35"/>
  <c r="L51" i="31"/>
  <c r="G11"/>
  <c r="K84" i="25"/>
  <c r="K62" i="31"/>
  <c r="H84" i="32"/>
  <c r="H82" i="31"/>
  <c r="O29"/>
  <c r="N31" i="88"/>
  <c r="J81" i="93"/>
  <c r="D78" i="57"/>
  <c r="E63" i="78"/>
  <c r="J87" i="91"/>
  <c r="D66" i="52"/>
  <c r="K91" i="37"/>
  <c r="K93" s="1"/>
  <c r="K93" i="38"/>
  <c r="M99" i="54"/>
  <c r="E78" i="76"/>
  <c r="D96" i="77"/>
  <c r="H99" i="87"/>
  <c r="F69" i="19"/>
  <c r="L81" i="75"/>
  <c r="D89" i="28"/>
  <c r="G75" i="90"/>
  <c r="F92" i="28"/>
  <c r="I102" i="79"/>
  <c r="J75" i="72"/>
  <c r="I77" i="88"/>
  <c r="D43" i="31"/>
  <c r="L102" i="93"/>
  <c r="D96" i="62"/>
  <c r="O35" i="88"/>
  <c r="H63" i="84"/>
  <c r="K49" i="31"/>
  <c r="K49" i="24" s="1"/>
  <c r="H75" i="19"/>
  <c r="J102" i="62"/>
  <c r="J30" i="37"/>
  <c r="G90" i="53"/>
  <c r="O53" i="37"/>
  <c r="D59" i="31"/>
  <c r="CI94" i="3"/>
  <c r="CX31"/>
  <c r="CI114"/>
  <c r="I75" i="59"/>
  <c r="L90" i="73"/>
  <c r="N96" i="90"/>
  <c r="N93" i="80"/>
  <c r="G94" i="28"/>
  <c r="G96" i="29"/>
  <c r="M36" i="37"/>
  <c r="J105" i="77"/>
  <c r="L63" i="41"/>
  <c r="M66" i="69"/>
  <c r="M66" i="59"/>
  <c r="L87" i="36"/>
  <c r="I63" i="74"/>
  <c r="N27" i="37"/>
  <c r="N7" i="31"/>
  <c r="H93" i="62"/>
  <c r="J101" i="28"/>
  <c r="O93" i="27"/>
  <c r="O75"/>
  <c r="N16" i="37"/>
  <c r="J105" i="39"/>
  <c r="M63" i="66"/>
  <c r="E84" i="76"/>
  <c r="M44" i="88"/>
  <c r="O102" i="49"/>
  <c r="H69" i="63"/>
  <c r="D41" i="37"/>
  <c r="L63" i="58"/>
  <c r="G10" i="37"/>
  <c r="F90" i="36"/>
  <c r="L13" i="88"/>
  <c r="L84" i="69"/>
  <c r="K101" i="37"/>
  <c r="H66" i="36"/>
  <c r="D93" i="40"/>
  <c r="H102" i="56"/>
  <c r="L105" i="65"/>
  <c r="K96" i="46"/>
  <c r="L26" i="28"/>
  <c r="H102" i="52"/>
  <c r="F40" i="37"/>
  <c r="O13" i="88"/>
  <c r="L63" i="59"/>
  <c r="L96" i="69"/>
  <c r="D96" i="44"/>
  <c r="N63" i="71"/>
  <c r="I90" i="94"/>
  <c r="E78" i="25"/>
  <c r="H75" i="43"/>
  <c r="L88" i="28"/>
  <c r="L90" i="29"/>
  <c r="N63" i="54"/>
  <c r="G105" i="32"/>
  <c r="G103" i="31"/>
  <c r="E87" i="87"/>
  <c r="F75" i="65"/>
  <c r="J33" i="31"/>
  <c r="N105" i="62"/>
  <c r="M46" i="28"/>
  <c r="O69" i="53"/>
  <c r="I78" i="30"/>
  <c r="M42" i="31"/>
  <c r="F99" i="82"/>
  <c r="F78" i="40"/>
  <c r="L93" i="75"/>
  <c r="N102" i="54"/>
  <c r="J61" i="31"/>
  <c r="J63" i="32"/>
  <c r="M63" i="25"/>
  <c r="H68" i="37"/>
  <c r="O78" i="66"/>
  <c r="E96" i="39"/>
  <c r="N99" i="68"/>
  <c r="G72" i="52"/>
  <c r="G87" i="70"/>
  <c r="E81" i="36"/>
  <c r="K30" i="88"/>
  <c r="H55" i="37"/>
  <c r="CZ50" i="3"/>
  <c r="M96" i="30"/>
  <c r="F70" i="28"/>
  <c r="F72" i="29"/>
  <c r="F63" i="60"/>
  <c r="O80" i="88"/>
  <c r="E72" i="90"/>
  <c r="O107" i="88"/>
  <c r="L81" i="54"/>
  <c r="L78" i="57"/>
  <c r="L99" i="35"/>
  <c r="M59" i="88"/>
  <c r="I102" i="30"/>
  <c r="N61" i="31"/>
  <c r="N63" i="32"/>
  <c r="M81" i="73"/>
  <c r="I90" i="46"/>
  <c r="D69" i="44"/>
  <c r="L90" i="47"/>
  <c r="L66" i="46"/>
  <c r="E93" i="42"/>
  <c r="O31" i="31"/>
  <c r="M51" i="37"/>
  <c r="M96" i="46"/>
  <c r="I93" i="30"/>
  <c r="G5" i="31"/>
  <c r="G96" i="67"/>
  <c r="J78" i="78"/>
  <c r="J92" i="31"/>
  <c r="E75" i="80"/>
  <c r="N99" i="87"/>
  <c r="I58" i="31"/>
  <c r="K66" i="94"/>
  <c r="O44" i="37"/>
  <c r="M102" i="63"/>
  <c r="G75" i="45"/>
  <c r="N108" i="26"/>
  <c r="F108" i="64"/>
  <c r="E87" i="50"/>
  <c r="I87" i="46"/>
  <c r="J84" i="51"/>
  <c r="N108" i="90"/>
  <c r="I78" i="85"/>
  <c r="N89" i="37"/>
  <c r="O78" i="47"/>
  <c r="L83" i="28"/>
  <c r="H84" i="25"/>
  <c r="L20" i="88"/>
  <c r="K58"/>
  <c r="M96" i="25"/>
  <c r="N84" i="49"/>
  <c r="L84" i="58"/>
  <c r="O93" i="29"/>
  <c r="O91" i="28"/>
  <c r="J78" i="84"/>
  <c r="O57" i="31"/>
  <c r="I19"/>
  <c r="M93" i="34"/>
  <c r="G69" i="49"/>
  <c r="G24" i="37"/>
  <c r="N103"/>
  <c r="N105" i="38"/>
  <c r="D84" i="26"/>
  <c r="O108" i="55"/>
  <c r="M93" i="90"/>
  <c r="E105" i="45"/>
  <c r="O99" i="61"/>
  <c r="G105" i="72"/>
  <c r="E49" i="88"/>
  <c r="J63" i="53"/>
  <c r="E96" i="74"/>
  <c r="K108" i="65"/>
  <c r="F84" i="45"/>
  <c r="D77" i="31"/>
  <c r="G66" i="61"/>
  <c r="F29" i="28"/>
  <c r="H102" i="62"/>
  <c r="L99" i="87"/>
  <c r="J96" i="41"/>
  <c r="D108" i="25"/>
  <c r="N14" i="88"/>
  <c r="N75" i="43"/>
  <c r="N75" i="93"/>
  <c r="F45" i="88"/>
  <c r="M75" i="71"/>
  <c r="N108" i="94"/>
  <c r="N25" i="37"/>
  <c r="V33" i="96"/>
  <c r="M72" i="41"/>
  <c r="E93" i="58"/>
  <c r="E83" i="88"/>
  <c r="F105" i="48"/>
  <c r="O75" i="66"/>
  <c r="O93" i="62"/>
  <c r="E96" i="81"/>
  <c r="CJ86" i="3"/>
  <c r="E69" i="76"/>
  <c r="H72" i="67"/>
  <c r="I78" i="89"/>
  <c r="I76" i="88"/>
  <c r="N84" i="59"/>
  <c r="D34" i="37"/>
  <c r="I90" i="43"/>
  <c r="H92" i="37"/>
  <c r="M78" i="80"/>
  <c r="N96" i="53"/>
  <c r="G102" i="70"/>
  <c r="E69" i="93"/>
  <c r="K69" i="36"/>
  <c r="O82" i="28"/>
  <c r="O84" i="29"/>
  <c r="N84" i="61"/>
  <c r="O25" i="28"/>
  <c r="J93" i="49"/>
  <c r="N87" i="91"/>
  <c r="CI97" i="3"/>
  <c r="D72" i="57"/>
  <c r="D90" i="64"/>
  <c r="N93" i="46"/>
  <c r="K83" i="31"/>
  <c r="H4" i="37"/>
  <c r="N96" i="39"/>
  <c r="H66" i="72"/>
  <c r="D98" i="88"/>
  <c r="N108" i="59"/>
  <c r="I105" i="72"/>
  <c r="I96" i="41"/>
  <c r="G105" i="57"/>
  <c r="D101" i="28"/>
  <c r="D108" i="61"/>
  <c r="N104" i="88"/>
  <c r="J6"/>
  <c r="N84" i="86"/>
  <c r="H84" i="51"/>
  <c r="G78" i="46"/>
  <c r="G87" i="62"/>
  <c r="G96" i="68"/>
  <c r="I93" i="67"/>
  <c r="I87" i="36"/>
  <c r="I75" i="68"/>
  <c r="J11" i="37"/>
  <c r="O89" i="31"/>
  <c r="D74" i="37"/>
  <c r="D75" i="69"/>
  <c r="G72" i="77"/>
  <c r="J102" i="55"/>
  <c r="G108" i="36"/>
  <c r="N72" i="70"/>
  <c r="H108" i="52"/>
  <c r="G66" i="58"/>
  <c r="I69" i="60"/>
  <c r="M97" i="28"/>
  <c r="M99" i="29"/>
  <c r="O29" i="28"/>
  <c r="L108" i="36"/>
  <c r="E84" i="63"/>
  <c r="I72" i="70"/>
  <c r="F30" i="88"/>
  <c r="K66" i="30"/>
  <c r="K72" i="68"/>
  <c r="G102" i="49"/>
  <c r="O69" i="59"/>
  <c r="M75" i="92"/>
  <c r="N108" i="73"/>
  <c r="O108" i="60"/>
  <c r="CH98" i="3"/>
  <c r="J66" i="80"/>
  <c r="D105"/>
  <c r="G84" i="71"/>
  <c r="K84" i="36"/>
  <c r="O92" i="88"/>
  <c r="G93" i="75"/>
  <c r="F81" i="84"/>
  <c r="E78" i="85"/>
  <c r="L66" i="51"/>
  <c r="CS55" i="3"/>
  <c r="J63" i="39"/>
  <c r="CY37" i="3"/>
  <c r="CJ116"/>
  <c r="H69" i="64"/>
  <c r="E102" i="62"/>
  <c r="D66" i="63"/>
  <c r="F63" i="49"/>
  <c r="G69" i="40"/>
  <c r="G105" i="91"/>
  <c r="D105" i="74"/>
  <c r="N105" i="54"/>
  <c r="O57" i="37"/>
  <c r="O72" i="40"/>
  <c r="J87" i="53"/>
  <c r="M66" i="54"/>
  <c r="K81" i="81"/>
  <c r="L81" i="36"/>
  <c r="H102" i="68"/>
  <c r="E105" i="27"/>
  <c r="O27" i="88"/>
  <c r="F78" i="75"/>
  <c r="J81" i="92"/>
  <c r="K96" i="27"/>
  <c r="D69" i="36"/>
  <c r="E29" i="88"/>
  <c r="F40"/>
  <c r="K102" i="39"/>
  <c r="M108" i="55"/>
  <c r="I24" i="37"/>
  <c r="N102" i="78"/>
  <c r="F99" i="27"/>
  <c r="I96" i="48"/>
  <c r="K81" i="75"/>
  <c r="L83" i="37"/>
  <c r="DM29" i="3"/>
  <c r="CK117"/>
  <c r="O6" i="37"/>
  <c r="K96" i="51"/>
  <c r="D84" i="43"/>
  <c r="M84" i="80"/>
  <c r="D66" i="38"/>
  <c r="D64" i="37"/>
  <c r="N14" i="28"/>
  <c r="G99" i="67"/>
  <c r="O96" i="32"/>
  <c r="O94" i="31"/>
  <c r="E81" i="47"/>
  <c r="E108" i="51"/>
  <c r="J27" i="31"/>
  <c r="K102" i="63"/>
  <c r="F66" i="33"/>
  <c r="O90" i="56"/>
  <c r="G40" i="28"/>
  <c r="E66" i="83"/>
  <c r="M99" i="92"/>
  <c r="G78" i="72"/>
  <c r="M87" i="54"/>
  <c r="M101" i="31"/>
  <c r="E77"/>
  <c r="O78" i="93"/>
  <c r="H56" i="37"/>
  <c r="I69" i="72"/>
  <c r="O20" i="28"/>
  <c r="O87" i="53"/>
  <c r="G108" i="85"/>
  <c r="D78" i="78"/>
  <c r="L87" i="57"/>
  <c r="I71" i="31"/>
  <c r="I96" i="91"/>
  <c r="E96" i="84"/>
  <c r="K78" i="90"/>
  <c r="H63"/>
  <c r="I75" i="66"/>
  <c r="E34" i="37"/>
  <c r="L68"/>
  <c r="H105" i="53"/>
  <c r="M108" i="58"/>
  <c r="N93" i="71"/>
  <c r="E69" i="72"/>
  <c r="F78" i="84"/>
  <c r="N18" i="31"/>
  <c r="G98" i="37"/>
  <c r="M53" i="88"/>
  <c r="N69" i="92"/>
  <c r="E66" i="59"/>
  <c r="K25" i="31"/>
  <c r="N78" i="78"/>
  <c r="G72" i="44"/>
  <c r="CA113" i="3"/>
  <c r="CA87"/>
  <c r="CA91" s="1"/>
  <c r="CP27"/>
  <c r="D7" i="28"/>
  <c r="D78" i="87"/>
  <c r="E72" i="71"/>
  <c r="O108" i="67"/>
  <c r="O102" i="36"/>
  <c r="E105" i="50"/>
  <c r="F17" i="31"/>
  <c r="N93" i="19"/>
  <c r="K5" i="31"/>
  <c r="M102" i="53"/>
  <c r="H84" i="50"/>
  <c r="N84" i="74"/>
  <c r="G78" i="57"/>
  <c r="D78" i="84"/>
  <c r="L84" i="33"/>
  <c r="K75" i="56"/>
  <c r="N90" i="92"/>
  <c r="D106" i="37"/>
  <c r="D108" i="38"/>
  <c r="D96" i="67"/>
  <c r="O75" i="48"/>
  <c r="F75" i="58"/>
  <c r="K39" i="22"/>
  <c r="F96" i="34"/>
  <c r="I78" i="61"/>
  <c r="K23" i="88"/>
  <c r="K33"/>
  <c r="F101" i="28"/>
  <c r="I49" i="88"/>
  <c r="O54" i="37"/>
  <c r="E108" i="47"/>
  <c r="H53" i="28"/>
  <c r="E72" i="87"/>
  <c r="I87" i="56"/>
  <c r="E93" i="36"/>
  <c r="F27" i="31"/>
  <c r="O87" i="33"/>
  <c r="F78" i="73"/>
  <c r="I78" i="77"/>
  <c r="H69" i="68"/>
  <c r="E87" i="75"/>
  <c r="CP55" i="3"/>
  <c r="D90" i="62"/>
  <c r="G96" i="45"/>
  <c r="K84" i="53"/>
  <c r="J72" i="65"/>
  <c r="F87" i="47"/>
  <c r="K108" i="54"/>
  <c r="F23" i="31"/>
  <c r="O108" i="39"/>
  <c r="G22" i="37"/>
  <c r="L74"/>
  <c r="M96" i="86"/>
  <c r="J105" i="75"/>
  <c r="D72" i="65"/>
  <c r="G69" i="47"/>
  <c r="D66" i="73"/>
  <c r="K20" i="88"/>
  <c r="J102" i="33"/>
  <c r="L93" i="67"/>
  <c r="L86" i="37"/>
  <c r="D108" i="40"/>
  <c r="H75" i="64"/>
  <c r="D90" i="33"/>
  <c r="M99" i="72"/>
  <c r="L102" i="75"/>
  <c r="E84" i="35"/>
  <c r="I46" i="28"/>
  <c r="N63" i="68"/>
  <c r="N78" i="72"/>
  <c r="N81" i="27"/>
  <c r="G72" i="54"/>
  <c r="E66" i="35"/>
  <c r="M93" i="68"/>
  <c r="O34" i="31"/>
  <c r="I81" i="63"/>
  <c r="E102" i="58"/>
  <c r="K84" i="84"/>
  <c r="G102" i="54"/>
  <c r="E63" i="67"/>
  <c r="H66" i="92"/>
  <c r="H96" i="53"/>
  <c r="O66" i="54"/>
  <c r="H21" i="37"/>
  <c r="L78" i="81"/>
  <c r="D69" i="65"/>
  <c r="K90" i="91"/>
  <c r="O63" i="80"/>
  <c r="G78" i="81"/>
  <c r="J72" i="68"/>
  <c r="K99" i="74"/>
  <c r="G37" i="31"/>
  <c r="I72" i="26"/>
  <c r="D93" i="94"/>
  <c r="M31" i="28"/>
  <c r="L96" i="73"/>
  <c r="N29" i="31"/>
  <c r="J24" i="88"/>
  <c r="H93" i="47"/>
  <c r="M81" i="90"/>
  <c r="K78" i="40"/>
  <c r="F93" i="73"/>
  <c r="M12" i="28"/>
  <c r="I63" i="40"/>
  <c r="K66" i="73"/>
  <c r="F76" i="88"/>
  <c r="F78" i="89"/>
  <c r="O48" i="28"/>
  <c r="I32" i="88"/>
  <c r="L108" i="94"/>
  <c r="M99" i="49"/>
  <c r="E72" i="32"/>
  <c r="E70" i="31"/>
  <c r="H84" i="48"/>
  <c r="K63" i="35"/>
  <c r="H90" i="74"/>
  <c r="H99" i="43"/>
  <c r="L87" i="27"/>
  <c r="N99" i="66"/>
  <c r="F105" i="38"/>
  <c r="F103" i="37"/>
  <c r="L108" i="40"/>
  <c r="H72" i="92"/>
  <c r="M93" i="67"/>
  <c r="D4" i="31"/>
  <c r="D87" i="80"/>
  <c r="G52" i="31"/>
  <c r="N75" i="53"/>
  <c r="M108" i="49"/>
  <c r="I86" i="88"/>
  <c r="G78" i="32"/>
  <c r="G76" i="31"/>
  <c r="O96" i="65"/>
  <c r="O108" i="84"/>
  <c r="G69" i="51"/>
  <c r="J10" i="37"/>
  <c r="O39" i="31"/>
  <c r="I108" i="63"/>
  <c r="J87" i="39"/>
  <c r="E102" i="57"/>
  <c r="L69" i="69"/>
  <c r="H93" i="53"/>
  <c r="F102" i="90"/>
  <c r="H69" i="58"/>
  <c r="I71" i="37"/>
  <c r="L102" i="39"/>
  <c r="J63" i="33"/>
  <c r="H81" i="69"/>
  <c r="H78" i="87"/>
  <c r="E78" i="63"/>
  <c r="CX73" i="3"/>
  <c r="CX74" s="1"/>
  <c r="O81" i="75"/>
  <c r="D57" i="37"/>
  <c r="D93" i="56"/>
  <c r="M93" i="78"/>
  <c r="H96" i="70"/>
  <c r="H96" i="39"/>
  <c r="N66" i="27"/>
  <c r="M69" i="46"/>
  <c r="K87" i="25"/>
  <c r="J99" i="44"/>
  <c r="E81" i="25"/>
  <c r="N99" i="90"/>
  <c r="H90" i="48"/>
  <c r="H90" i="93"/>
  <c r="K81" i="59"/>
  <c r="F87" i="39"/>
  <c r="J90" i="60"/>
  <c r="F51" i="37"/>
  <c r="H78" i="59"/>
  <c r="D59" i="88"/>
  <c r="N102" i="36"/>
  <c r="K90" i="49"/>
  <c r="N105" i="36"/>
  <c r="K107" i="28"/>
  <c r="I90" i="72"/>
  <c r="K102" i="54"/>
  <c r="K84" i="92"/>
  <c r="I45" i="28"/>
  <c r="H90" i="41"/>
  <c r="K90" i="75"/>
  <c r="O20" i="37"/>
  <c r="H63" i="43"/>
  <c r="G99" i="26"/>
  <c r="F102" i="71"/>
  <c r="E82" i="31"/>
  <c r="E84" i="32"/>
  <c r="I63" i="30"/>
  <c r="I64" i="88"/>
  <c r="I66" i="89"/>
  <c r="L105" i="56"/>
  <c r="L99" i="43"/>
  <c r="N28" i="88"/>
  <c r="E96" i="82"/>
  <c r="I66" i="48"/>
  <c r="K81" i="78"/>
  <c r="L52" i="37"/>
  <c r="I78" i="64"/>
  <c r="O93" i="39"/>
  <c r="G78" i="85"/>
  <c r="F90" i="62"/>
  <c r="M96" i="60"/>
  <c r="L96" i="35"/>
  <c r="E97" i="28"/>
  <c r="E99" i="29"/>
  <c r="DA29" i="3"/>
  <c r="CL88"/>
  <c r="K66" i="59"/>
  <c r="G39" i="37"/>
  <c r="G90" i="36"/>
  <c r="K78" i="64"/>
  <c r="CK86" i="3"/>
  <c r="CZ28"/>
  <c r="O84" i="58"/>
  <c r="N69" i="44"/>
  <c r="J81" i="27"/>
  <c r="F50" i="28"/>
  <c r="BP65" i="3"/>
  <c r="N72" i="47"/>
  <c r="N81" i="59"/>
  <c r="O96" i="27"/>
  <c r="N55" i="31"/>
  <c r="H69" i="93"/>
  <c r="O90" i="94"/>
  <c r="H88" i="28"/>
  <c r="H90" i="29"/>
  <c r="J75" i="61"/>
  <c r="O14" i="31"/>
  <c r="D99" i="34"/>
  <c r="J93" i="92"/>
  <c r="H63" i="52"/>
  <c r="H72" i="75"/>
  <c r="O81" i="41"/>
  <c r="M75" i="48"/>
  <c r="DH29" i="3"/>
  <c r="CF117"/>
  <c r="D59" i="28"/>
  <c r="M105" i="39"/>
  <c r="E78" i="94"/>
  <c r="K77" i="88"/>
  <c r="F59" i="31"/>
  <c r="G87" i="73"/>
  <c r="G96" i="50"/>
  <c r="J103" i="31"/>
  <c r="J105" i="32"/>
  <c r="N108" i="91"/>
  <c r="F78" i="72"/>
  <c r="K63" i="60"/>
  <c r="M93" i="76"/>
  <c r="O69" i="69"/>
  <c r="G108" i="93"/>
  <c r="K69" i="59"/>
  <c r="J4" i="31"/>
  <c r="K84" i="54"/>
  <c r="H102" i="43"/>
  <c r="F15" i="22"/>
  <c r="E15"/>
  <c r="L69" i="58"/>
  <c r="H63" i="36"/>
  <c r="D72" i="67"/>
  <c r="E81" i="53"/>
  <c r="N66" i="64"/>
  <c r="D66" i="33"/>
  <c r="G105" i="58"/>
  <c r="F69" i="62"/>
  <c r="O75" i="77"/>
  <c r="J81" i="86"/>
  <c r="O75" i="67"/>
  <c r="G63" i="47"/>
  <c r="F81" i="33"/>
  <c r="E75" i="29"/>
  <c r="E73" i="28"/>
  <c r="J99" i="36"/>
  <c r="L66" i="30"/>
  <c r="J63" i="60"/>
  <c r="J96" i="34"/>
  <c r="N99" i="39"/>
  <c r="I23" i="37"/>
  <c r="M72" i="58"/>
  <c r="H69" i="34"/>
  <c r="D96" i="47"/>
  <c r="H108" i="83"/>
  <c r="K78" i="33"/>
  <c r="J75" i="26"/>
  <c r="E81" i="94"/>
  <c r="G105" i="52"/>
  <c r="L84" i="92"/>
  <c r="L102" i="78"/>
  <c r="H105" i="76"/>
  <c r="F18" i="37"/>
  <c r="I75" i="71"/>
  <c r="I48" i="88"/>
  <c r="D45" i="37"/>
  <c r="L87" i="25"/>
  <c r="K84" i="80"/>
  <c r="G78" i="26"/>
  <c r="G96" i="93"/>
  <c r="J105" i="84"/>
  <c r="E72" i="58"/>
  <c r="M84" i="67"/>
  <c r="K88" i="88"/>
  <c r="K90" i="89"/>
  <c r="G16" i="37"/>
  <c r="E87" i="92"/>
  <c r="I78" i="86"/>
  <c r="H66" i="56"/>
  <c r="F66" i="36"/>
  <c r="M72" i="54"/>
  <c r="G69" i="90"/>
  <c r="M78" i="58"/>
  <c r="H96" i="81"/>
  <c r="I96" i="46"/>
  <c r="D15" i="37"/>
  <c r="D108" i="62"/>
  <c r="N38" i="28"/>
  <c r="G81" i="41"/>
  <c r="G42" i="31"/>
  <c r="D84" i="65"/>
  <c r="F41" i="37"/>
  <c r="D69" i="69"/>
  <c r="J90"/>
  <c r="I69" i="42"/>
  <c r="E20" i="37"/>
  <c r="I63" i="47"/>
  <c r="D81" i="41"/>
  <c r="M25" i="28"/>
  <c r="F93" i="55"/>
  <c r="L90" i="56"/>
  <c r="N72" i="53"/>
  <c r="M5" i="88"/>
  <c r="L66" i="44"/>
  <c r="J108" i="75"/>
  <c r="G78" i="83"/>
  <c r="E69" i="43"/>
  <c r="J63" i="87"/>
  <c r="K102" i="78"/>
  <c r="D108" i="27"/>
  <c r="J26" i="88"/>
  <c r="J8" i="28"/>
  <c r="M78" i="43"/>
  <c r="G93" i="77"/>
  <c r="H17" i="88"/>
  <c r="K17" i="37"/>
  <c r="F72" i="61"/>
  <c r="D105" i="33"/>
  <c r="L93" i="80"/>
  <c r="O94" i="88"/>
  <c r="O96" s="1"/>
  <c r="O96" i="89"/>
  <c r="G87" i="19"/>
  <c r="F87" i="78"/>
  <c r="E103" i="28"/>
  <c r="E105" s="1"/>
  <c r="E105" i="29"/>
  <c r="K105" i="25"/>
  <c r="H108" i="80"/>
  <c r="CW51" i="3"/>
  <c r="CH122"/>
  <c r="L72" i="75"/>
  <c r="O80" i="31"/>
  <c r="F92" i="88"/>
  <c r="N80" i="28"/>
  <c r="N96" i="86"/>
  <c r="G102" i="56"/>
  <c r="N75" i="90"/>
  <c r="E66" i="54"/>
  <c r="E65" i="31"/>
  <c r="G53" i="88"/>
  <c r="I78" i="78"/>
  <c r="K96" i="34"/>
  <c r="D11" i="97"/>
  <c r="E11" s="1"/>
  <c r="CE113" i="3"/>
  <c r="CT27"/>
  <c r="CE87"/>
  <c r="N26" i="37"/>
  <c r="N74" i="31"/>
  <c r="J55" i="37"/>
  <c r="H96" i="68"/>
  <c r="J45" i="37"/>
  <c r="I63" i="53"/>
  <c r="E69" i="38"/>
  <c r="E67" i="37"/>
  <c r="F84" i="36"/>
  <c r="E87" i="44"/>
  <c r="K90" i="84"/>
  <c r="M78" i="93"/>
  <c r="N108" i="44"/>
  <c r="F26" i="37"/>
  <c r="J78" i="86"/>
  <c r="D81" i="87"/>
  <c r="M78" i="34"/>
  <c r="F93" i="94"/>
  <c r="CQ56" i="3"/>
  <c r="M105" i="26"/>
  <c r="G90" i="83"/>
  <c r="D66" i="57"/>
  <c r="M89" i="28"/>
  <c r="O96" i="47"/>
  <c r="D84" i="80"/>
  <c r="G87" i="57"/>
  <c r="F78" i="36"/>
  <c r="J65" i="88"/>
  <c r="F84" i="71"/>
  <c r="F99" i="85"/>
  <c r="E75" i="68"/>
  <c r="G66" i="59"/>
  <c r="D105" i="71"/>
  <c r="F49" i="28"/>
  <c r="M81" i="48"/>
  <c r="O87" i="26"/>
  <c r="L41" i="31"/>
  <c r="G66" i="60"/>
  <c r="G83" i="88"/>
  <c r="L87" i="73"/>
  <c r="I69" i="75"/>
  <c r="D93" i="42"/>
  <c r="I74" i="31"/>
  <c r="F42" i="37"/>
  <c r="E96" i="58"/>
  <c r="E22" i="37"/>
  <c r="E63" i="77"/>
  <c r="H108" i="87"/>
  <c r="N84" i="72"/>
  <c r="E81" i="74"/>
  <c r="M102" i="78"/>
  <c r="D75" i="79"/>
  <c r="M81" i="40"/>
  <c r="O11" i="37"/>
  <c r="G35" i="28"/>
  <c r="G4" i="31"/>
  <c r="I78" i="65"/>
  <c r="H105" i="89"/>
  <c r="H103" i="88"/>
  <c r="L78" i="77"/>
  <c r="I105" i="64"/>
  <c r="O58" i="31"/>
  <c r="L93" i="66"/>
  <c r="H75" i="82"/>
  <c r="I75" i="43"/>
  <c r="O44" i="28"/>
  <c r="O99" i="91"/>
  <c r="H84" i="84"/>
  <c r="H72" i="64"/>
  <c r="F102" i="73"/>
  <c r="M105" i="80"/>
  <c r="J69" i="48"/>
  <c r="L81" i="68"/>
  <c r="K99" i="70"/>
  <c r="G87" i="39"/>
  <c r="L25" i="28"/>
  <c r="O72" i="51"/>
  <c r="I75" i="78"/>
  <c r="F69" i="87"/>
  <c r="M66" i="53"/>
  <c r="M69" i="54"/>
  <c r="L102" i="65"/>
  <c r="F63" i="34"/>
  <c r="H7" i="88"/>
  <c r="K30" i="28"/>
  <c r="I69" i="58"/>
  <c r="F90" i="27"/>
  <c r="F52" i="31"/>
  <c r="L90" i="92"/>
  <c r="J69" i="87"/>
  <c r="I102"/>
  <c r="I87" i="48"/>
  <c r="M70" i="28"/>
  <c r="M72" i="29"/>
  <c r="M108" i="40"/>
  <c r="P14" i="96"/>
  <c r="H78" i="66"/>
  <c r="F105" i="62"/>
  <c r="D93" i="41"/>
  <c r="M10" i="28"/>
  <c r="J75" i="48"/>
  <c r="J78" i="72"/>
  <c r="L66" i="19"/>
  <c r="I66" i="90"/>
  <c r="H99" i="48"/>
  <c r="J102" i="26"/>
  <c r="I78" i="80"/>
  <c r="J65" i="28"/>
  <c r="N47"/>
  <c r="H63" i="65"/>
  <c r="G102" i="77"/>
  <c r="F8" i="31"/>
  <c r="I105" i="39"/>
  <c r="D105" i="75"/>
  <c r="K108" i="89"/>
  <c r="K106" i="88"/>
  <c r="J66" i="64"/>
  <c r="H106" i="88"/>
  <c r="H108" i="89"/>
  <c r="D71" i="88"/>
  <c r="K93" i="60"/>
  <c r="D51" i="31"/>
  <c r="K69" i="25"/>
  <c r="D75" i="43"/>
  <c r="K9" i="28"/>
  <c r="I81" i="30"/>
  <c r="CJ2" i="3"/>
  <c r="H105" i="26"/>
  <c r="D71" i="31"/>
  <c r="M79"/>
  <c r="M81" i="32"/>
  <c r="N96" i="67"/>
  <c r="M63" i="27"/>
  <c r="G66" i="51"/>
  <c r="D81" i="89"/>
  <c r="D79" i="88"/>
  <c r="H108" i="92"/>
  <c r="D102" i="41"/>
  <c r="G47" i="31"/>
  <c r="N68" i="37"/>
  <c r="F96" i="65"/>
  <c r="K108" i="29"/>
  <c r="K106" i="28"/>
  <c r="L78" i="67"/>
  <c r="F87" i="55"/>
  <c r="K72" i="82"/>
  <c r="E65" i="88"/>
  <c r="N98" i="37"/>
  <c r="K87" i="61"/>
  <c r="L7" i="37"/>
  <c r="I10" i="88"/>
  <c r="L99" i="26"/>
  <c r="H105" i="75"/>
  <c r="L102" i="48"/>
  <c r="M84" i="70"/>
  <c r="N105" i="45"/>
  <c r="G81" i="54"/>
  <c r="L99" i="56"/>
  <c r="H105" i="47"/>
  <c r="I25" i="88"/>
  <c r="K105" i="87"/>
  <c r="O63" i="93"/>
  <c r="E66" i="55"/>
  <c r="L84" i="41"/>
  <c r="O72" i="84"/>
  <c r="D96" i="57"/>
  <c r="K75" i="40"/>
  <c r="O102" i="91"/>
  <c r="H99" i="41"/>
  <c r="N13" i="31"/>
  <c r="CG121" i="3"/>
  <c r="M34" i="88"/>
  <c r="I12" i="31"/>
  <c r="E21"/>
  <c r="F108" i="45"/>
  <c r="O78" i="84"/>
  <c r="L72" i="40"/>
  <c r="D79" i="31"/>
  <c r="D81" i="32"/>
  <c r="L96" i="33"/>
  <c r="N99" i="71"/>
  <c r="D96" i="90"/>
  <c r="I47" i="31"/>
  <c r="O87" i="25"/>
  <c r="E90" i="43"/>
  <c r="K84" i="49"/>
  <c r="I84" i="87"/>
  <c r="E74" i="88"/>
  <c r="E78" i="56"/>
  <c r="J78" i="67"/>
  <c r="H108" i="53"/>
  <c r="F36" i="31"/>
  <c r="D96" i="92"/>
  <c r="L78" i="45"/>
  <c r="L84" i="39"/>
  <c r="F104" i="88"/>
  <c r="H75" i="30"/>
  <c r="M16" i="28"/>
  <c r="F75" i="68"/>
  <c r="E67" i="31"/>
  <c r="E69" i="32"/>
  <c r="J63" i="41"/>
  <c r="M63" i="70"/>
  <c r="M102" i="48"/>
  <c r="K84" i="30"/>
  <c r="G87" i="27"/>
  <c r="I93" i="60"/>
  <c r="M66" i="76"/>
  <c r="J26" i="28"/>
  <c r="N75" i="27"/>
  <c r="F75"/>
  <c r="F75" i="38"/>
  <c r="F73" i="37"/>
  <c r="L69" i="26"/>
  <c r="G66" i="47"/>
  <c r="H87" i="93"/>
  <c r="O38" i="37"/>
  <c r="I63" i="72"/>
  <c r="M87" i="58"/>
  <c r="G75" i="78"/>
  <c r="J96" i="93"/>
  <c r="O96" i="49"/>
  <c r="F81" i="57"/>
  <c r="H87" i="71"/>
  <c r="E81" i="49"/>
  <c r="I96" i="73"/>
  <c r="O105" i="72"/>
  <c r="K96" i="43"/>
  <c r="K13" i="37"/>
  <c r="F108" i="35"/>
  <c r="N26" i="88"/>
  <c r="G78" i="61"/>
  <c r="G10" i="31"/>
  <c r="K66" i="78"/>
  <c r="J53" i="88"/>
  <c r="J94" i="31"/>
  <c r="J96" i="32"/>
  <c r="G69" i="77"/>
  <c r="K69" i="63"/>
  <c r="D97" i="28"/>
  <c r="D99" i="29"/>
  <c r="I69" i="33"/>
  <c r="E66" i="76"/>
  <c r="F97" i="88"/>
  <c r="F99" i="89"/>
  <c r="E105" i="64"/>
  <c r="J96" i="89"/>
  <c r="J94" i="88"/>
  <c r="L72" i="55"/>
  <c r="I95" i="31"/>
  <c r="N21" i="37"/>
  <c r="O36" i="31"/>
  <c r="I66" i="62"/>
  <c r="D81" i="53"/>
  <c r="H84" i="35"/>
  <c r="J108" i="53"/>
  <c r="E76" i="88"/>
  <c r="E78" i="89"/>
  <c r="G96" i="41"/>
  <c r="M84" i="86"/>
  <c r="I6" i="31"/>
  <c r="K75" i="81"/>
  <c r="J75" i="74"/>
  <c r="I32" i="28"/>
  <c r="E71" i="37"/>
  <c r="H75" i="77"/>
  <c r="D108" i="35"/>
  <c r="E102" i="73"/>
  <c r="G72" i="85"/>
  <c r="G75" i="79"/>
  <c r="H72" i="66"/>
  <c r="J105" i="92"/>
  <c r="E24" i="31"/>
  <c r="M7" i="37"/>
  <c r="O75" i="53"/>
  <c r="K75" i="92"/>
  <c r="E64" i="31"/>
  <c r="E66" s="1"/>
  <c r="E66" i="32"/>
  <c r="O81" i="78"/>
  <c r="E69" i="45"/>
  <c r="G99" i="93"/>
  <c r="O102" i="44"/>
  <c r="I108" i="93"/>
  <c r="J107" i="37"/>
  <c r="I99" i="76"/>
  <c r="G40" i="88"/>
  <c r="E37" i="37"/>
  <c r="D84" i="57"/>
  <c r="G84" i="30"/>
  <c r="G50" i="88"/>
  <c r="F108" i="85"/>
  <c r="K75" i="66"/>
  <c r="E93" i="40"/>
  <c r="J72" i="70"/>
  <c r="K66" i="72"/>
  <c r="E86" i="37"/>
  <c r="K14" i="88"/>
  <c r="F99" i="79"/>
  <c r="D66" i="46"/>
  <c r="M90" i="64"/>
  <c r="K41" i="31"/>
  <c r="O69" i="36"/>
  <c r="F74" i="28"/>
  <c r="H75" i="42"/>
  <c r="F105" i="52"/>
  <c r="F99" i="70"/>
  <c r="N93" i="77"/>
  <c r="G66" i="69"/>
  <c r="M84" i="91"/>
  <c r="E81" i="67"/>
  <c r="H96" i="19"/>
  <c r="K72" i="66"/>
  <c r="H96" i="89"/>
  <c r="H94" i="88"/>
  <c r="G90" i="93"/>
  <c r="F69" i="25"/>
  <c r="F102" i="43"/>
  <c r="I74" i="37"/>
  <c r="N81" i="69"/>
  <c r="N87" i="25"/>
  <c r="J99" i="62"/>
  <c r="D102" i="52"/>
  <c r="I66" i="70"/>
  <c r="I20" i="37"/>
  <c r="O81" i="89"/>
  <c r="O79" i="88"/>
  <c r="F63" i="91"/>
  <c r="L84" i="66"/>
  <c r="M96" i="41"/>
  <c r="L69" i="78"/>
  <c r="O29" i="88"/>
  <c r="L63" i="69"/>
  <c r="G43" i="37"/>
  <c r="H66" i="78"/>
  <c r="L98" i="31"/>
  <c r="M99" i="61"/>
  <c r="I97" i="28"/>
  <c r="I99" i="29"/>
  <c r="N102" i="40"/>
  <c r="K78" i="57"/>
  <c r="J27" i="37"/>
  <c r="D78" i="83"/>
  <c r="I14" i="88"/>
  <c r="L108" i="65"/>
  <c r="J87" i="69"/>
  <c r="H76" i="28"/>
  <c r="H78" i="29"/>
  <c r="E108" i="68"/>
  <c r="D63" i="74"/>
  <c r="D102" i="30"/>
  <c r="M96" i="58"/>
  <c r="I90" i="19"/>
  <c r="F40" i="31"/>
  <c r="L84" i="40"/>
  <c r="M81" i="27"/>
  <c r="E90" i="46"/>
  <c r="E26" i="88"/>
  <c r="O69" i="33"/>
  <c r="J85" i="31"/>
  <c r="J87" i="32"/>
  <c r="H101" i="31"/>
  <c r="H57" i="88"/>
  <c r="H98" i="37"/>
  <c r="E81" i="75"/>
  <c r="L96" i="19"/>
  <c r="E81" i="83"/>
  <c r="G102" i="71"/>
  <c r="N93" i="61"/>
  <c r="D93" i="72"/>
  <c r="L93" i="84"/>
  <c r="L38" i="31"/>
  <c r="E99" i="61"/>
  <c r="K96" i="63"/>
  <c r="O87" i="80"/>
  <c r="H63" i="60"/>
  <c r="N86" i="88"/>
  <c r="D63" i="93"/>
  <c r="M31" i="37"/>
  <c r="N63" i="26"/>
  <c r="G28" i="31"/>
  <c r="F81" i="52"/>
  <c r="N81" i="89"/>
  <c r="N79" i="88"/>
  <c r="N81" s="1"/>
  <c r="G103"/>
  <c r="G105" i="89"/>
  <c r="M84" i="49"/>
  <c r="H108" i="30"/>
  <c r="N81" i="45"/>
  <c r="G66" i="33"/>
  <c r="I9" i="88"/>
  <c r="E75" i="35"/>
  <c r="L93" i="74"/>
  <c r="O99" i="19"/>
  <c r="L75" i="43"/>
  <c r="O69" i="74"/>
  <c r="G39" i="28"/>
  <c r="CG99" i="3"/>
  <c r="H51" i="31"/>
  <c r="D108" i="80"/>
  <c r="L72" i="78"/>
  <c r="E63" i="48"/>
  <c r="K44" i="31"/>
  <c r="M105" i="77"/>
  <c r="N93" i="86"/>
  <c r="E69" i="40"/>
  <c r="F51" i="88"/>
  <c r="D51"/>
  <c r="J102" i="80"/>
  <c r="H69" i="75"/>
  <c r="N93" i="87"/>
  <c r="K103" i="88"/>
  <c r="K105" i="89"/>
  <c r="O99" i="66"/>
  <c r="M108" i="27"/>
  <c r="N9" i="31"/>
  <c r="J93" i="35"/>
  <c r="D84" i="54"/>
  <c r="L78" i="19"/>
  <c r="H72" i="52"/>
  <c r="J84" i="63"/>
  <c r="O74" i="88"/>
  <c r="N102" i="68"/>
  <c r="H87" i="73"/>
  <c r="L84" i="48"/>
  <c r="H30" i="88"/>
  <c r="O26" i="37"/>
  <c r="L75" i="69"/>
  <c r="I46" i="88"/>
  <c r="G78" i="45"/>
  <c r="E49" i="31"/>
  <c r="I67" i="28"/>
  <c r="I69" i="29"/>
  <c r="M81" i="39"/>
  <c r="O84" i="43"/>
  <c r="G99" i="68"/>
  <c r="O105" i="35"/>
  <c r="E58" i="31"/>
  <c r="N87" i="65"/>
  <c r="L19" i="31"/>
  <c r="M78" i="84"/>
  <c r="K72" i="92"/>
  <c r="J99" i="47"/>
  <c r="I108" i="26"/>
  <c r="O102" i="69"/>
  <c r="H102" i="78"/>
  <c r="H93" i="49"/>
  <c r="O102" i="60"/>
  <c r="J69" i="34"/>
  <c r="I84" i="51"/>
  <c r="E95" i="31"/>
  <c r="E75" i="30"/>
  <c r="L105" i="48"/>
  <c r="E72" i="92"/>
  <c r="D75" i="87"/>
  <c r="G93" i="50"/>
  <c r="M71" i="31"/>
  <c r="J72" i="67"/>
  <c r="H69" i="52"/>
  <c r="F81" i="91"/>
  <c r="O72" i="73"/>
  <c r="H78" i="51"/>
  <c r="CR41" i="3"/>
  <c r="E69" i="62"/>
  <c r="E19" i="28"/>
  <c r="L19" i="88"/>
  <c r="M105" i="48"/>
  <c r="O78" i="73"/>
  <c r="D99" i="58"/>
  <c r="N78" i="67"/>
  <c r="L75" i="27"/>
  <c r="H99" i="81"/>
  <c r="K72" i="57"/>
  <c r="I93" i="85"/>
  <c r="M35" i="31"/>
  <c r="F89" i="88"/>
  <c r="D81" i="64"/>
  <c r="O87" i="34"/>
  <c r="H87" i="33"/>
  <c r="O66" i="44"/>
  <c r="J65" i="37"/>
  <c r="E7" i="31"/>
  <c r="I87" i="80"/>
  <c r="I90" i="68"/>
  <c r="D86" i="31"/>
  <c r="K87" i="81"/>
  <c r="D81" i="39"/>
  <c r="O84" i="46"/>
  <c r="E84" i="49"/>
  <c r="G66" i="50"/>
  <c r="F105" i="45"/>
  <c r="F78"/>
  <c r="F84" i="84"/>
  <c r="N105" i="25"/>
  <c r="N59" i="31"/>
  <c r="H83" i="88"/>
  <c r="E66" i="64"/>
  <c r="G89" i="37"/>
  <c r="N93" i="48"/>
  <c r="H37" i="28"/>
  <c r="D84" i="75"/>
  <c r="M87"/>
  <c r="D17" i="31"/>
  <c r="K99" i="92"/>
  <c r="L63" i="30"/>
  <c r="F87" i="57"/>
  <c r="O105" i="91"/>
  <c r="K58" i="31"/>
  <c r="H66" i="73"/>
  <c r="K84" i="64"/>
  <c r="L75" i="84"/>
  <c r="CL99" i="3"/>
  <c r="CL105" s="1"/>
  <c r="DA34"/>
  <c r="N78" i="61"/>
  <c r="H78" i="91"/>
  <c r="E30" i="37"/>
  <c r="F99" i="49"/>
  <c r="M92" i="88"/>
  <c r="M96" i="81"/>
  <c r="L105" i="87"/>
  <c r="E40" i="37"/>
  <c r="J69" i="38"/>
  <c r="J67" i="37"/>
  <c r="N81" i="43"/>
  <c r="N50" i="28"/>
  <c r="J102" i="78"/>
  <c r="N75" i="80"/>
  <c r="F69" i="94"/>
  <c r="F14" i="88"/>
  <c r="J90" i="62"/>
  <c r="G42" i="37"/>
  <c r="H102" i="72"/>
  <c r="L14" i="37"/>
  <c r="K90" i="63"/>
  <c r="G105" i="44"/>
  <c r="N75" i="71"/>
  <c r="D99" i="43"/>
  <c r="I13" i="31"/>
  <c r="J105" i="82"/>
  <c r="I72" i="30"/>
  <c r="M72" i="61"/>
  <c r="G59" i="31"/>
  <c r="F75" i="63"/>
  <c r="I87" i="52"/>
  <c r="D72" i="33"/>
  <c r="D35" i="37"/>
  <c r="L81" i="65"/>
  <c r="G87" i="36"/>
  <c r="N42" i="28"/>
  <c r="L93" i="27"/>
  <c r="J53" i="28"/>
  <c r="F37" i="88"/>
  <c r="F105" i="36"/>
  <c r="D99" i="50"/>
  <c r="L81" i="94"/>
  <c r="L7" i="28"/>
  <c r="E90" i="69"/>
  <c r="K93" i="74"/>
  <c r="D68" i="31"/>
  <c r="F108" i="56"/>
  <c r="H105" i="63"/>
  <c r="H90" i="59"/>
  <c r="M69" i="47"/>
  <c r="I97" i="88"/>
  <c r="I99" i="89"/>
  <c r="I93"/>
  <c r="I91" i="88"/>
  <c r="I84" i="80"/>
  <c r="G90" i="67"/>
  <c r="H14" i="88"/>
  <c r="K89" i="37"/>
  <c r="O56" i="31"/>
  <c r="J75" i="91"/>
  <c r="H18" i="31"/>
  <c r="K102" i="91"/>
  <c r="M90" i="36"/>
  <c r="O90" i="19"/>
  <c r="F84" i="41"/>
  <c r="G90" i="78"/>
  <c r="E87" i="49"/>
  <c r="N26" i="31"/>
  <c r="L26"/>
  <c r="K96" i="35"/>
  <c r="G108" i="65"/>
  <c r="L93" i="70"/>
  <c r="F65" i="37"/>
  <c r="N81" i="34"/>
  <c r="L108" i="80"/>
  <c r="I105" i="42"/>
  <c r="I105" i="35"/>
  <c r="D72" i="72"/>
  <c r="J80" i="37"/>
  <c r="L99" i="83"/>
  <c r="N81" i="71"/>
  <c r="K66" i="26"/>
  <c r="G90" i="55"/>
  <c r="F75" i="72"/>
  <c r="I72" i="51"/>
  <c r="F84" i="80"/>
  <c r="F105" i="73"/>
  <c r="D94" i="37"/>
  <c r="D96" i="38"/>
  <c r="O105" i="45"/>
  <c r="J69" i="55"/>
  <c r="M81" i="67"/>
  <c r="J108" i="69"/>
  <c r="N78" i="43"/>
  <c r="J84" i="46"/>
  <c r="O96" i="39"/>
  <c r="J90" i="29"/>
  <c r="J88" i="28"/>
  <c r="J90" s="1"/>
  <c r="F78" i="26"/>
  <c r="E75" i="50"/>
  <c r="D6" i="37"/>
  <c r="L63" i="63"/>
  <c r="L75" i="40"/>
  <c r="M87" i="30"/>
  <c r="K63" i="92"/>
  <c r="E63" i="35"/>
  <c r="M6" i="28"/>
  <c r="E66" i="50"/>
  <c r="J65" i="31"/>
  <c r="J69" i="64"/>
  <c r="K66" i="51"/>
  <c r="O81" i="46"/>
  <c r="E68" i="37"/>
  <c r="K84" i="87"/>
  <c r="F66" i="27"/>
  <c r="E63" i="90"/>
  <c r="L96" i="77"/>
  <c r="O13" i="28"/>
  <c r="J75" i="64"/>
  <c r="D84" i="73"/>
  <c r="H22" i="37"/>
  <c r="H54" i="31"/>
  <c r="L12"/>
  <c r="D93" i="81"/>
  <c r="E78" i="93"/>
  <c r="G108" i="72"/>
  <c r="O90" i="46"/>
  <c r="N78" i="93"/>
  <c r="K105" i="33"/>
  <c r="K84" i="77"/>
  <c r="D81" i="73"/>
  <c r="H78" i="27"/>
  <c r="J69" i="70"/>
  <c r="I41" i="88"/>
  <c r="N22" i="31"/>
  <c r="H30" i="37"/>
  <c r="E75" i="56"/>
  <c r="O81" i="68"/>
  <c r="I78" i="45"/>
  <c r="H102" i="63"/>
  <c r="L69" i="61"/>
  <c r="D108" i="51"/>
  <c r="N75" i="39"/>
  <c r="K93" i="65"/>
  <c r="H96" i="33"/>
  <c r="O69" i="61"/>
  <c r="E63" i="34"/>
  <c r="M70" i="88"/>
  <c r="M72" i="89"/>
  <c r="D102" i="73"/>
  <c r="L78" i="80"/>
  <c r="G105" i="94"/>
  <c r="D84" i="36"/>
  <c r="K105" i="49"/>
  <c r="N81" i="38"/>
  <c r="N79" i="37"/>
  <c r="J102" i="87"/>
  <c r="F96" i="58"/>
  <c r="N99" i="38"/>
  <c r="N97" i="37"/>
  <c r="O87" i="41"/>
  <c r="O69" i="44"/>
  <c r="M53" i="37"/>
  <c r="E108" i="63"/>
  <c r="H105" i="77"/>
  <c r="I43" i="28"/>
  <c r="I63" i="68"/>
  <c r="K84" i="94"/>
  <c r="N75" i="81"/>
  <c r="N81" i="46"/>
  <c r="E75" i="42"/>
  <c r="L46" i="37"/>
  <c r="H95"/>
  <c r="H96" s="1"/>
  <c r="I19" i="28"/>
  <c r="I19" i="24" s="1"/>
  <c r="K69" i="74"/>
  <c r="CD86" i="3"/>
  <c r="F72" i="64"/>
  <c r="D96" i="39"/>
  <c r="K84" i="69"/>
  <c r="F105" i="30"/>
  <c r="K66" i="76"/>
  <c r="G99" i="35"/>
  <c r="I69" i="94"/>
  <c r="D108" i="81"/>
  <c r="D108" i="30"/>
  <c r="I66" i="69"/>
  <c r="L8" i="31"/>
  <c r="N84" i="83"/>
  <c r="I99" i="53"/>
  <c r="M84"/>
  <c r="F108" i="58"/>
  <c r="D107" i="31"/>
  <c r="J78" i="53"/>
  <c r="L75" i="94"/>
  <c r="I96" i="80"/>
  <c r="J84" i="71"/>
  <c r="J105" i="74"/>
  <c r="K105" i="45"/>
  <c r="K75" i="33"/>
  <c r="M84" i="25"/>
  <c r="M102" i="55"/>
  <c r="M14" i="88"/>
  <c r="F87" i="84"/>
  <c r="M84" i="93"/>
  <c r="N63" i="63"/>
  <c r="L69" i="33"/>
  <c r="M14" i="28"/>
  <c r="N13"/>
  <c r="M62"/>
  <c r="M84" i="76"/>
  <c r="D85" i="88"/>
  <c r="D87" i="89"/>
  <c r="N93" i="74"/>
  <c r="H70" i="28"/>
  <c r="H72" i="29"/>
  <c r="G99" i="85"/>
  <c r="K41" i="37"/>
  <c r="M4" i="28"/>
  <c r="N108" i="87"/>
  <c r="F87" i="30"/>
  <c r="H14" i="31"/>
  <c r="L69" i="46"/>
  <c r="G69" i="27"/>
  <c r="CR27" i="3"/>
  <c r="CC113"/>
  <c r="CC87"/>
  <c r="L90" i="43"/>
  <c r="G84" i="73"/>
  <c r="F32" i="88"/>
  <c r="H32" i="31"/>
  <c r="M81" i="77"/>
  <c r="K87" i="83"/>
  <c r="F66" i="72"/>
  <c r="H99" i="94"/>
  <c r="E75" i="54"/>
  <c r="L90" i="64"/>
  <c r="I87" i="68"/>
  <c r="M66" i="39"/>
  <c r="H102" i="35"/>
  <c r="N84" i="93"/>
  <c r="M102" i="57"/>
  <c r="E81" i="81"/>
  <c r="D63" i="75"/>
  <c r="D15" i="88"/>
  <c r="F72" i="75"/>
  <c r="D81" i="85"/>
  <c r="M87" i="72"/>
  <c r="I93" i="43"/>
  <c r="G30" i="88"/>
  <c r="E99" i="40"/>
  <c r="E99" i="26"/>
  <c r="K84" i="67"/>
  <c r="L87" i="40"/>
  <c r="D108" i="49"/>
  <c r="E96" i="61"/>
  <c r="H63" i="69"/>
  <c r="CC115" i="3"/>
  <c r="CC95"/>
  <c r="G99" i="55"/>
  <c r="D63" i="25"/>
  <c r="D96" i="89"/>
  <c r="D94" i="88"/>
  <c r="H75" i="55"/>
  <c r="K72" i="51"/>
  <c r="D72" i="41"/>
  <c r="H81" i="81"/>
  <c r="D75" i="36"/>
  <c r="L105" i="41"/>
  <c r="L102" i="59"/>
  <c r="J75" i="40"/>
  <c r="N36" i="37"/>
  <c r="N105" i="43"/>
  <c r="F99" i="68"/>
  <c r="N105" i="30"/>
  <c r="L31" i="88"/>
  <c r="F84" i="43"/>
  <c r="H50" i="37"/>
  <c r="H75" i="35"/>
  <c r="K81" i="92"/>
  <c r="I102" i="36"/>
  <c r="H62" i="37"/>
  <c r="N99" i="92"/>
  <c r="O95" i="28"/>
  <c r="F81" i="94"/>
  <c r="D66" i="48"/>
  <c r="L28" i="31"/>
  <c r="L26" i="88"/>
  <c r="D78" i="59"/>
  <c r="F69" i="42"/>
  <c r="E78" i="57"/>
  <c r="G25" i="37"/>
  <c r="L33" i="28"/>
  <c r="G78" i="54"/>
  <c r="F96" i="75"/>
  <c r="M105" i="60"/>
  <c r="M75" i="62"/>
  <c r="E96" i="51"/>
  <c r="J29" i="28"/>
  <c r="M54" i="88"/>
  <c r="O72" i="57"/>
  <c r="L102" i="94"/>
  <c r="E105" i="48"/>
  <c r="D96" i="73"/>
  <c r="M81" i="86"/>
  <c r="N105" i="47"/>
  <c r="N84" i="78"/>
  <c r="O72" i="39"/>
  <c r="M66" i="92"/>
  <c r="I78" i="74"/>
  <c r="E30" i="31"/>
  <c r="E102" i="67"/>
  <c r="E87" i="53"/>
  <c r="E87" i="69"/>
  <c r="M72" i="82"/>
  <c r="H84" i="43"/>
  <c r="G99" i="90"/>
  <c r="I99" i="35"/>
  <c r="G49" i="37"/>
  <c r="D22" i="31"/>
  <c r="O75" i="72"/>
  <c r="H106" i="28"/>
  <c r="H108" i="29"/>
  <c r="J89" i="31"/>
  <c r="J22" i="37"/>
  <c r="N78" i="58"/>
  <c r="H87" i="94"/>
  <c r="L99" i="62"/>
  <c r="I7" i="28"/>
  <c r="E43" i="88"/>
  <c r="O75" i="74"/>
  <c r="I81" i="77"/>
  <c r="I66" i="33"/>
  <c r="D39" i="37"/>
  <c r="J81" i="84"/>
  <c r="D72" i="19"/>
  <c r="J69" i="67"/>
  <c r="L93" i="30"/>
  <c r="D96" i="60"/>
  <c r="E26" i="31"/>
  <c r="M66" i="94"/>
  <c r="O90" i="40"/>
  <c r="I63" i="27"/>
  <c r="M93" i="33"/>
  <c r="E24" i="37"/>
  <c r="L41"/>
  <c r="F69" i="47"/>
  <c r="E99" i="56"/>
  <c r="G99" i="32"/>
  <c r="G97" i="31"/>
  <c r="E108" i="73"/>
  <c r="N69" i="55"/>
  <c r="M96" i="27"/>
  <c r="I105" i="53"/>
  <c r="E43" i="37"/>
  <c r="E78" i="64"/>
  <c r="D75" i="45"/>
  <c r="I78" i="41"/>
  <c r="M108" i="93"/>
  <c r="N102" i="65"/>
  <c r="D66" i="70"/>
  <c r="G90" i="48"/>
  <c r="M96" i="71"/>
  <c r="F42" i="31"/>
  <c r="M93" i="53"/>
  <c r="K40" i="31"/>
  <c r="H89" i="37"/>
  <c r="I96" i="94"/>
  <c r="I96" i="36"/>
  <c r="N6" i="31"/>
  <c r="K93" i="41"/>
  <c r="F71" i="88"/>
  <c r="I59" i="31"/>
  <c r="L16" i="88"/>
  <c r="O87" i="64"/>
  <c r="K102" i="48"/>
  <c r="O69" i="60"/>
  <c r="D25" i="37"/>
  <c r="N102" i="46"/>
  <c r="D90" i="58"/>
  <c r="E90" i="78"/>
  <c r="G108" i="47"/>
  <c r="H84" i="59"/>
  <c r="G108" i="76"/>
  <c r="H90" i="39"/>
  <c r="K108" i="77"/>
  <c r="E8" i="88"/>
  <c r="J84" i="60"/>
  <c r="K43" i="31"/>
  <c r="K92"/>
  <c r="K72" i="53"/>
  <c r="H66" i="65"/>
  <c r="N81" i="75"/>
  <c r="E93" i="85"/>
  <c r="I99" i="82"/>
  <c r="O90" i="55"/>
  <c r="K72" i="83"/>
  <c r="I102" i="48"/>
  <c r="I78" i="50"/>
  <c r="G102" i="55"/>
  <c r="L66" i="76"/>
  <c r="O4" i="88"/>
  <c r="E84" i="54"/>
  <c r="O84" i="45"/>
  <c r="H78" i="62"/>
  <c r="N75"/>
  <c r="I63" i="85"/>
  <c r="H90" i="33"/>
  <c r="J84" i="58"/>
  <c r="L96" i="86"/>
  <c r="I72" i="84"/>
  <c r="G12" i="31"/>
  <c r="F69" i="90"/>
  <c r="I105" i="54"/>
  <c r="H84" i="34"/>
  <c r="G66" i="63"/>
  <c r="H75" i="53"/>
  <c r="D102" i="36"/>
  <c r="H108" i="55"/>
  <c r="E78" i="30"/>
  <c r="F48" i="88"/>
  <c r="F108" i="80"/>
  <c r="K31" i="28"/>
  <c r="N102" i="49"/>
  <c r="H81" i="84"/>
  <c r="D29" i="31"/>
  <c r="G16" i="28"/>
  <c r="F66" i="82"/>
  <c r="H21" i="88"/>
  <c r="K81" i="80"/>
  <c r="M108" i="25"/>
  <c r="J96" i="53"/>
  <c r="H43" i="28"/>
  <c r="D75" i="58"/>
  <c r="G66" i="43"/>
  <c r="G78"/>
  <c r="M27" i="28"/>
  <c r="M27" i="24" s="1"/>
  <c r="K108" i="51"/>
  <c r="N108" i="68"/>
  <c r="E69" i="56"/>
  <c r="G99" i="79"/>
  <c r="L88" i="31"/>
  <c r="L90" i="32"/>
  <c r="K93" i="82"/>
  <c r="F81" i="53"/>
  <c r="H58" i="37"/>
  <c r="I81" i="58"/>
  <c r="E18" i="28"/>
  <c r="O72" i="68"/>
  <c r="L66" i="49"/>
  <c r="F63" i="81"/>
  <c r="H82" i="28"/>
  <c r="H84" i="29"/>
  <c r="M68" i="28"/>
  <c r="H102" i="46"/>
  <c r="J69" i="47"/>
  <c r="K63" i="77"/>
  <c r="D87" i="19"/>
  <c r="E108" i="54"/>
  <c r="F93" i="87"/>
  <c r="G108" i="44"/>
  <c r="F78" i="58"/>
  <c r="M75" i="54"/>
  <c r="O66" i="70"/>
  <c r="E51" i="31"/>
  <c r="G108" i="19"/>
  <c r="J105" i="69"/>
  <c r="M108" i="36"/>
  <c r="L105" i="62"/>
  <c r="O71" i="28"/>
  <c r="E78" i="51"/>
  <c r="G65" i="28"/>
  <c r="F63" i="66"/>
  <c r="G90" i="57"/>
  <c r="H78" i="35"/>
  <c r="G105" i="77"/>
  <c r="F66" i="19"/>
  <c r="F66" i="90"/>
  <c r="I9" i="31"/>
  <c r="D72" i="55"/>
  <c r="M71" i="37"/>
  <c r="L93" i="47"/>
  <c r="L87" i="55"/>
  <c r="L105" i="25"/>
  <c r="I66" i="72"/>
  <c r="K63" i="93"/>
  <c r="E84" i="57"/>
  <c r="O69" i="78"/>
  <c r="F8" i="28"/>
  <c r="L6" i="31"/>
  <c r="L66" i="82"/>
  <c r="G72" i="80"/>
  <c r="J97" i="28"/>
  <c r="J99" i="29"/>
  <c r="H78" i="67"/>
  <c r="J102" i="71"/>
  <c r="N69" i="53"/>
  <c r="M105" i="27"/>
  <c r="D72" i="87"/>
  <c r="G51" i="88"/>
  <c r="K78" i="78"/>
  <c r="G46" i="28"/>
  <c r="M90" i="66"/>
  <c r="G63" i="94"/>
  <c r="N66" i="80"/>
  <c r="N72" i="48"/>
  <c r="D28" i="37"/>
  <c r="K78" i="94"/>
  <c r="N41" i="28"/>
  <c r="I81" i="61"/>
  <c r="K93" i="71"/>
  <c r="G58" i="88"/>
  <c r="L63" i="94"/>
  <c r="J87" i="30"/>
  <c r="E99" i="72"/>
  <c r="M90" i="71"/>
  <c r="L84" i="36"/>
  <c r="O45" i="88"/>
  <c r="M102" i="39"/>
  <c r="N63" i="91"/>
  <c r="J84" i="70"/>
  <c r="N81" i="55"/>
  <c r="E84" i="27"/>
  <c r="L63" i="34"/>
  <c r="H99" i="62"/>
  <c r="G69" i="36"/>
  <c r="E90" i="79"/>
  <c r="I63" i="55"/>
  <c r="L90" i="30"/>
  <c r="K69" i="34"/>
  <c r="G35" i="37"/>
  <c r="H93" i="19"/>
  <c r="H13" i="37"/>
  <c r="O84" i="67"/>
  <c r="I72" i="94"/>
  <c r="K72" i="69"/>
  <c r="G69" i="76"/>
  <c r="I102" i="54"/>
  <c r="J63" i="81"/>
  <c r="D81" i="74"/>
  <c r="D102" i="57"/>
  <c r="N78" i="34"/>
  <c r="E99" i="67"/>
  <c r="J100" i="37"/>
  <c r="J102" i="38"/>
  <c r="I81" i="40"/>
  <c r="J102" i="54"/>
  <c r="G62" i="37"/>
  <c r="G99" i="52"/>
  <c r="F28" i="88"/>
  <c r="N78" i="76"/>
  <c r="F72" i="47"/>
  <c r="G96" i="58"/>
  <c r="E78" i="74"/>
  <c r="F84" i="60"/>
  <c r="I108" i="86"/>
  <c r="CY35" i="3"/>
  <c r="CJ96"/>
  <c r="K69" i="38"/>
  <c r="K67" i="37"/>
  <c r="N81" i="72"/>
  <c r="M75" i="36"/>
  <c r="N69" i="89"/>
  <c r="N67" i="88"/>
  <c r="F102" i="19"/>
  <c r="K65" i="28"/>
  <c r="N90" i="58"/>
  <c r="J69" i="68"/>
  <c r="L108" i="78"/>
  <c r="D108" i="26"/>
  <c r="K81" i="61"/>
  <c r="E102" i="76"/>
  <c r="E33" i="31"/>
  <c r="K72" i="77"/>
  <c r="F63" i="65"/>
  <c r="F47" i="88"/>
  <c r="O72" i="66"/>
  <c r="O105" i="83"/>
  <c r="D106" i="28"/>
  <c r="D108" i="29"/>
  <c r="D81" i="35"/>
  <c r="D63" i="19"/>
  <c r="H84" i="53"/>
  <c r="H105" i="72"/>
  <c r="N63" i="62"/>
  <c r="D72" i="59"/>
  <c r="D96" i="48"/>
  <c r="K105" i="30"/>
  <c r="J63" i="61"/>
  <c r="K74" i="88"/>
  <c r="M66" i="74"/>
  <c r="D99" i="49"/>
  <c r="K108" i="66"/>
  <c r="F30" i="37"/>
  <c r="E81" i="42"/>
  <c r="N84" i="82"/>
  <c r="D66" i="40"/>
  <c r="H66" i="54"/>
  <c r="O105" i="57"/>
  <c r="D81" i="51"/>
  <c r="M99" i="93"/>
  <c r="K48" i="88"/>
  <c r="O84" i="35"/>
  <c r="G102" i="67"/>
  <c r="L66" i="41"/>
  <c r="M96" i="93"/>
  <c r="M24" i="28"/>
  <c r="K75" i="44"/>
  <c r="J78" i="49"/>
  <c r="G72" i="33"/>
  <c r="H87" i="55"/>
  <c r="E63" i="46"/>
  <c r="J78" i="76"/>
  <c r="M89" i="37"/>
  <c r="M44"/>
  <c r="D81" i="84"/>
  <c r="L87" i="48"/>
  <c r="K87" i="62"/>
  <c r="D95" i="31"/>
  <c r="O102" i="59"/>
  <c r="O103" i="37"/>
  <c r="O105" i="38"/>
  <c r="F102" i="51"/>
  <c r="K34" i="37"/>
  <c r="L21"/>
  <c r="F69" i="39"/>
  <c r="J90" i="50"/>
  <c r="H105" i="65"/>
  <c r="K20" i="31"/>
  <c r="I84" i="68"/>
  <c r="O28" i="37"/>
  <c r="M84" i="82"/>
  <c r="L75" i="45"/>
  <c r="I41" i="28"/>
  <c r="F63" i="33"/>
  <c r="E108" i="92"/>
  <c r="D69" i="91"/>
  <c r="K28" i="28"/>
  <c r="I108" i="57"/>
  <c r="N63" i="58"/>
  <c r="F96" i="26"/>
  <c r="M69" i="78"/>
  <c r="H105" i="44"/>
  <c r="D96" i="82"/>
  <c r="J40" i="37"/>
  <c r="F105" i="65"/>
  <c r="H69" i="49"/>
  <c r="M84" i="36"/>
  <c r="I108" i="35"/>
  <c r="G81" i="40"/>
  <c r="K105" i="74"/>
  <c r="O66" i="60"/>
  <c r="M108" i="86"/>
  <c r="E108" i="77"/>
  <c r="O77" i="37"/>
  <c r="G108" i="51"/>
  <c r="D105" i="62"/>
  <c r="F78" i="69"/>
  <c r="J105" i="34"/>
  <c r="I78" i="29"/>
  <c r="I76" i="28"/>
  <c r="H69" i="45"/>
  <c r="I108" i="80"/>
  <c r="I92" i="31"/>
  <c r="G31" i="37"/>
  <c r="L108" i="35"/>
  <c r="J100" i="31"/>
  <c r="J102" i="32"/>
  <c r="J69" i="36"/>
  <c r="D75" i="34"/>
  <c r="M96" i="83"/>
  <c r="D96" i="86"/>
  <c r="N69" i="67"/>
  <c r="H78" i="26"/>
  <c r="M6" i="88"/>
  <c r="O90" i="45"/>
  <c r="E69" i="73"/>
  <c r="L108" i="84"/>
  <c r="D66" i="55"/>
  <c r="I38" i="28"/>
  <c r="N69" i="47"/>
  <c r="I72" i="76"/>
  <c r="K102" i="72"/>
  <c r="I102" i="26"/>
  <c r="L93" i="69"/>
  <c r="F63" i="57"/>
  <c r="L81" i="66"/>
  <c r="N84" i="54"/>
  <c r="CY42" i="3"/>
  <c r="E23" i="31"/>
  <c r="N72" i="55"/>
  <c r="K102" i="68"/>
  <c r="D90" i="59"/>
  <c r="K90" i="86"/>
  <c r="I81" i="72"/>
  <c r="M86" i="31"/>
  <c r="N63" i="80"/>
  <c r="L87" i="92"/>
  <c r="G93" i="58"/>
  <c r="K100" i="31"/>
  <c r="K102" i="32"/>
  <c r="D7" i="37"/>
  <c r="H72" i="35"/>
  <c r="G17" i="28"/>
  <c r="L63" i="25"/>
  <c r="E66" i="92"/>
  <c r="D38" i="31"/>
  <c r="I99" i="77"/>
  <c r="I72" i="80"/>
  <c r="O72" i="33"/>
  <c r="H66" i="76"/>
  <c r="G81" i="68"/>
  <c r="J90" i="67"/>
  <c r="I78" i="46"/>
  <c r="K72" i="44"/>
  <c r="E99" i="89"/>
  <c r="E97" i="88"/>
  <c r="D105" i="26"/>
  <c r="G27" i="31"/>
  <c r="F104"/>
  <c r="N37"/>
  <c r="E63" i="93"/>
  <c r="I50" i="88"/>
  <c r="D90" i="61"/>
  <c r="H36" i="28"/>
  <c r="O69" i="82"/>
  <c r="I78" i="26"/>
  <c r="D84" i="81"/>
  <c r="L108" i="86"/>
  <c r="F75" i="51"/>
  <c r="L72" i="33"/>
  <c r="N73" i="88"/>
  <c r="N75" i="89"/>
  <c r="M90" i="59"/>
  <c r="I105"/>
  <c r="D75" i="70"/>
  <c r="E78" i="73"/>
  <c r="L49" i="31"/>
  <c r="G81" i="56"/>
  <c r="G102" i="66"/>
  <c r="M72" i="75"/>
  <c r="I63" i="67"/>
  <c r="H93" i="58"/>
  <c r="E87" i="94"/>
  <c r="L102" i="89"/>
  <c r="L100" i="88"/>
  <c r="G63" i="32"/>
  <c r="G61" i="31"/>
  <c r="D66" i="44"/>
  <c r="G84" i="36"/>
  <c r="G75" i="76"/>
  <c r="F72" i="89"/>
  <c r="F70" i="88"/>
  <c r="D75" i="54"/>
  <c r="K72" i="62"/>
  <c r="G96" i="73"/>
  <c r="E105" i="68"/>
  <c r="E90" i="33"/>
  <c r="D37" i="31"/>
  <c r="D87" i="61"/>
  <c r="K99" i="26"/>
  <c r="K12" i="28"/>
  <c r="M46" i="37"/>
  <c r="E81" i="90"/>
  <c r="J69" i="43"/>
  <c r="L96" i="68"/>
  <c r="G75" i="89"/>
  <c r="G73" i="88"/>
  <c r="J78" i="44"/>
  <c r="N84" i="90"/>
  <c r="I102" i="34"/>
  <c r="D99" i="87"/>
  <c r="E93" i="64"/>
  <c r="H108" i="50"/>
  <c r="D63" i="48"/>
  <c r="D69" i="74"/>
  <c r="H87" i="69"/>
  <c r="F102" i="83"/>
  <c r="H87" i="81"/>
  <c r="O78" i="89"/>
  <c r="O76" i="88"/>
  <c r="I105" i="74"/>
  <c r="K102" i="69"/>
  <c r="I53" i="28"/>
  <c r="CD116" i="3"/>
  <c r="K75" i="25"/>
  <c r="D102" i="51"/>
  <c r="I105" i="89"/>
  <c r="I103" i="88"/>
  <c r="O93" i="68"/>
  <c r="D36" i="88"/>
  <c r="F69" i="69"/>
  <c r="J90" i="86"/>
  <c r="G18" i="37"/>
  <c r="I108" i="52"/>
  <c r="J72" i="94"/>
  <c r="J44" i="31"/>
  <c r="I105" i="76"/>
  <c r="I69" i="70"/>
  <c r="M108" i="64"/>
  <c r="K93" i="19"/>
  <c r="G76" i="37"/>
  <c r="G78" i="38"/>
  <c r="M84" i="63"/>
  <c r="N102" i="93"/>
  <c r="N90" i="67"/>
  <c r="G108" i="86"/>
  <c r="G75" i="71"/>
  <c r="H96" i="73"/>
  <c r="H87" i="40"/>
  <c r="N66" i="68"/>
  <c r="I93" i="58"/>
  <c r="E93" i="91"/>
  <c r="N69" i="76"/>
  <c r="K23" i="31"/>
  <c r="F63" i="84"/>
  <c r="K56" i="28"/>
  <c r="I81" i="54"/>
  <c r="M104" i="88"/>
  <c r="F96" i="76"/>
  <c r="H55" i="88"/>
  <c r="O99" i="86"/>
  <c r="N63" i="92"/>
  <c r="F99" i="32"/>
  <c r="F97" i="31"/>
  <c r="I108" i="72"/>
  <c r="M66" i="51"/>
  <c r="F72" i="93"/>
  <c r="G93" i="59"/>
  <c r="J87" i="62"/>
  <c r="J96" i="68"/>
  <c r="H72" i="82"/>
  <c r="CK115" i="3"/>
  <c r="CZ33"/>
  <c r="CK95"/>
  <c r="D10" i="37"/>
  <c r="E66" i="57"/>
  <c r="D81" i="47"/>
  <c r="M75" i="73"/>
  <c r="G72" i="43"/>
  <c r="F87" i="35"/>
  <c r="G81" i="86"/>
  <c r="G96" i="51"/>
  <c r="G84" i="77"/>
  <c r="H53" i="37"/>
  <c r="F48" i="28"/>
  <c r="F78" i="91"/>
  <c r="N69" i="93"/>
  <c r="F87" i="45"/>
  <c r="DA51" i="3"/>
  <c r="CL122"/>
  <c r="L46" i="31"/>
  <c r="E75" i="86"/>
  <c r="L96" i="25"/>
  <c r="M14" i="31"/>
  <c r="K40" i="28"/>
  <c r="D96" i="27"/>
  <c r="J96" i="39"/>
  <c r="G75" i="30"/>
  <c r="J90" i="74"/>
  <c r="K105" i="73"/>
  <c r="E99" i="52"/>
  <c r="D81" i="78"/>
  <c r="O93" i="77"/>
  <c r="G69" i="54"/>
  <c r="J33" i="37"/>
  <c r="J33" i="24" s="1"/>
  <c r="F35" i="31"/>
  <c r="G66" i="64"/>
  <c r="N96" i="93"/>
  <c r="K63" i="48"/>
  <c r="I70" i="88"/>
  <c r="I72" i="89"/>
  <c r="F81"/>
  <c r="F79" i="88"/>
  <c r="D58" i="31"/>
  <c r="I93" i="53"/>
  <c r="M72" i="92"/>
  <c r="J93" i="48"/>
  <c r="CX38" i="3"/>
  <c r="DK26" s="1"/>
  <c r="DK27"/>
  <c r="H105" i="92"/>
  <c r="O63" i="32"/>
  <c r="O61" i="31"/>
  <c r="G99" i="66"/>
  <c r="I68" i="88"/>
  <c r="J28" i="31"/>
  <c r="J99" i="55"/>
  <c r="K55" i="31"/>
  <c r="G72" i="69"/>
  <c r="H10" i="28"/>
  <c r="M75" i="93"/>
  <c r="K96" i="92"/>
  <c r="M90" i="82"/>
  <c r="L95" i="28"/>
  <c r="K21" i="31"/>
  <c r="J96" i="71"/>
  <c r="F96" i="39"/>
  <c r="E33" i="88"/>
  <c r="D90" i="71"/>
  <c r="D87" i="64"/>
  <c r="J22" i="28"/>
  <c r="M84" i="46"/>
  <c r="I75" i="72"/>
  <c r="D81" i="94"/>
  <c r="E99" i="35"/>
  <c r="D90" i="63"/>
  <c r="I74" i="28"/>
  <c r="J14" i="96"/>
  <c r="N75" i="82"/>
  <c r="I69" i="68"/>
  <c r="E96" i="80"/>
  <c r="F87" i="43"/>
  <c r="G77" i="37"/>
  <c r="D69" i="39"/>
  <c r="D87" i="51"/>
  <c r="I90" i="82"/>
  <c r="M99" i="26"/>
  <c r="D72" i="45"/>
  <c r="M66" i="81"/>
  <c r="M100" i="88"/>
  <c r="M102" i="89"/>
  <c r="F93" i="72"/>
  <c r="I51" i="28"/>
  <c r="M74" i="37"/>
  <c r="D20" i="88"/>
  <c r="N96" i="66"/>
  <c r="F90" i="73"/>
  <c r="E84" i="94"/>
  <c r="J108" i="50"/>
  <c r="I34" i="88"/>
  <c r="I108" i="75"/>
  <c r="I107" i="37"/>
  <c r="O84" i="93"/>
  <c r="K75" i="63"/>
  <c r="I108" i="36"/>
  <c r="K36" i="88"/>
  <c r="M108" i="87"/>
  <c r="O96" i="91"/>
  <c r="O63" i="54"/>
  <c r="I75" i="52"/>
  <c r="I63" i="38"/>
  <c r="I61" i="37"/>
  <c r="I63" s="1"/>
  <c r="O108" i="46"/>
  <c r="O72" i="86"/>
  <c r="O78" i="69"/>
  <c r="K66" i="74"/>
  <c r="L72" i="58"/>
  <c r="D102" i="87"/>
  <c r="H84" i="41"/>
  <c r="J84" i="65"/>
  <c r="O9" i="31"/>
  <c r="H102" i="71"/>
  <c r="M108" i="77"/>
  <c r="J75" i="41"/>
  <c r="I75" i="44"/>
  <c r="H87" i="47"/>
  <c r="J87" i="59"/>
  <c r="O63" i="75"/>
  <c r="H78" i="68"/>
  <c r="I69" i="43"/>
  <c r="F102" i="76"/>
  <c r="F29" i="31"/>
  <c r="F99" i="44"/>
  <c r="N99" i="61"/>
  <c r="F78" i="79"/>
  <c r="D102" i="86"/>
  <c r="D66" i="67"/>
  <c r="K108" i="70"/>
  <c r="L87" i="54"/>
  <c r="O78" i="55"/>
  <c r="I108" i="49"/>
  <c r="H96" i="64"/>
  <c r="I75" i="79"/>
  <c r="K75" i="35"/>
  <c r="J78" i="45"/>
  <c r="K63" i="49"/>
  <c r="M69" i="93"/>
  <c r="O87" i="44"/>
  <c r="N78" i="47"/>
  <c r="F81" i="76"/>
  <c r="N90" i="65"/>
  <c r="K105" i="34"/>
  <c r="I90" i="50"/>
  <c r="H108" i="94"/>
  <c r="M69" i="73"/>
  <c r="G78" i="35"/>
  <c r="D85" i="37"/>
  <c r="D87" s="1"/>
  <c r="D87" i="38"/>
  <c r="L102"/>
  <c r="L100" i="37"/>
  <c r="K40" i="88"/>
  <c r="I102" i="83"/>
  <c r="D30" i="31"/>
  <c r="D78" i="86"/>
  <c r="F96" i="69"/>
  <c r="M69" i="27"/>
  <c r="I100" i="28"/>
  <c r="I102" i="29"/>
  <c r="G102" i="30"/>
  <c r="G90" i="65"/>
  <c r="J108" i="40"/>
  <c r="CL95" i="3"/>
  <c r="DA33"/>
  <c r="CL115"/>
  <c r="L81" i="61"/>
  <c r="L18" i="28"/>
  <c r="D74" i="31"/>
  <c r="D87" i="53"/>
  <c r="J81" i="50"/>
  <c r="M87" i="74"/>
  <c r="J69" i="65"/>
  <c r="L77" i="31"/>
  <c r="G13"/>
  <c r="D84" i="19"/>
  <c r="J84" i="77"/>
  <c r="J83" i="88"/>
  <c r="N93" i="92"/>
  <c r="E96" i="75"/>
  <c r="H93" i="69"/>
  <c r="H50" i="31"/>
  <c r="N22" i="37"/>
  <c r="M108" i="70"/>
  <c r="E108" i="80"/>
  <c r="N81" i="62"/>
  <c r="N5" i="28"/>
  <c r="D81" i="26"/>
  <c r="N72" i="76"/>
  <c r="G72" i="64"/>
  <c r="K63" i="36"/>
  <c r="CY36" i="3"/>
  <c r="G63" i="84"/>
  <c r="K74" i="31"/>
  <c r="H105" i="93"/>
  <c r="L105" i="27"/>
  <c r="E78" i="44"/>
  <c r="F75" i="94"/>
  <c r="J78" i="81"/>
  <c r="L83" i="88"/>
  <c r="J101" i="37"/>
  <c r="F99" i="47"/>
  <c r="E63" i="50"/>
  <c r="N65" i="28"/>
  <c r="D96" i="36"/>
  <c r="E89" i="28"/>
  <c r="H40" i="31"/>
  <c r="M105" i="41"/>
  <c r="D90" i="80"/>
  <c r="F20" i="28"/>
  <c r="L81" i="70"/>
  <c r="I90" i="60"/>
  <c r="H16" i="28"/>
  <c r="O93" i="40"/>
  <c r="D75" i="19"/>
  <c r="H42" i="31"/>
  <c r="O88" i="88"/>
  <c r="O90" i="89"/>
  <c r="D90" i="29"/>
  <c r="D88" i="28"/>
  <c r="I105" i="52"/>
  <c r="N39" i="28"/>
  <c r="L78" i="73"/>
  <c r="D102" i="67"/>
  <c r="K69" i="80"/>
  <c r="H16" i="31"/>
  <c r="E108" i="79"/>
  <c r="D63" i="41"/>
  <c r="J108" i="91"/>
  <c r="F87" i="50"/>
  <c r="O84" i="56"/>
  <c r="I108" i="32"/>
  <c r="I106" i="31"/>
  <c r="H24" i="28"/>
  <c r="D90" i="48"/>
  <c r="N84" i="57"/>
  <c r="E90" i="54"/>
  <c r="D6" i="28"/>
  <c r="D63" i="66"/>
  <c r="H69" i="54"/>
  <c r="M90" i="76"/>
  <c r="K108" i="62"/>
  <c r="H87" i="59"/>
  <c r="O102" i="27"/>
  <c r="J69" i="79"/>
  <c r="G84" i="34"/>
  <c r="H102" i="51"/>
  <c r="K63" i="72"/>
  <c r="D65" i="37"/>
  <c r="J56" i="31"/>
  <c r="CI85" i="3"/>
  <c r="L63" i="71"/>
  <c r="E72" i="30"/>
  <c r="E35" i="31"/>
  <c r="M66" i="77"/>
  <c r="H69" i="82"/>
  <c r="K99" i="90"/>
  <c r="F96" i="19"/>
  <c r="H52" i="88"/>
  <c r="O78" i="30"/>
  <c r="O23" i="28"/>
  <c r="J62" i="88"/>
  <c r="F93" i="36"/>
  <c r="L84" i="87"/>
  <c r="G105" i="70"/>
  <c r="E7" i="37"/>
  <c r="N33"/>
  <c r="O96" i="92"/>
  <c r="I108" i="90"/>
  <c r="G105" i="30"/>
  <c r="J84" i="38"/>
  <c r="J82" i="37"/>
  <c r="H78" i="25"/>
  <c r="L31" i="37"/>
  <c r="K69" i="65"/>
  <c r="K18" i="37"/>
  <c r="H93" i="44"/>
  <c r="F102" i="79"/>
  <c r="O15" i="28"/>
  <c r="G105" i="66"/>
  <c r="M102" i="34"/>
  <c r="F85" i="28"/>
  <c r="F87" i="29"/>
  <c r="F81" i="78"/>
  <c r="M108" i="53"/>
  <c r="F75" i="82"/>
  <c r="I78" i="44"/>
  <c r="M108" i="84"/>
  <c r="H99" i="67"/>
  <c r="J102" i="48"/>
  <c r="O75" i="41"/>
  <c r="L66" i="74"/>
  <c r="F72" i="92"/>
  <c r="G96" i="63"/>
  <c r="I102" i="67"/>
  <c r="J90" i="57"/>
  <c r="I102" i="39"/>
  <c r="J108" i="83"/>
  <c r="F75" i="32"/>
  <c r="F73" i="31"/>
  <c r="L69" i="47"/>
  <c r="G99" i="60"/>
  <c r="L75" i="62"/>
  <c r="G6" i="37"/>
  <c r="L49" i="88"/>
  <c r="H99" i="39"/>
  <c r="G81" i="51"/>
  <c r="M99" i="63"/>
  <c r="J7" i="37"/>
  <c r="I96" i="50"/>
  <c r="M105" i="74"/>
  <c r="M63" i="33"/>
  <c r="I105" i="93"/>
  <c r="L15" i="37"/>
  <c r="O66" i="80"/>
  <c r="O66" i="49"/>
  <c r="J97" i="31"/>
  <c r="J99" i="32"/>
  <c r="E105" i="85"/>
  <c r="N75" i="58"/>
  <c r="O93" i="54"/>
  <c r="M91" i="88"/>
  <c r="M93" i="89"/>
  <c r="G105" i="62"/>
  <c r="E58" i="28"/>
  <c r="E66" i="52"/>
  <c r="L69" i="92"/>
  <c r="D102" i="53"/>
  <c r="K108" i="55"/>
  <c r="CY52" i="3"/>
  <c r="D66" i="27"/>
  <c r="I78" i="57"/>
  <c r="I78" i="73"/>
  <c r="K47" i="28"/>
  <c r="M99" i="91"/>
  <c r="G66" i="75"/>
  <c r="I12" i="37"/>
  <c r="J99" i="64"/>
  <c r="I105" i="32"/>
  <c r="I103" i="31"/>
  <c r="F93" i="47"/>
  <c r="H24" i="37"/>
  <c r="F99" i="56"/>
  <c r="K66" i="80"/>
  <c r="D81" i="63"/>
  <c r="I90" i="75"/>
  <c r="H93" i="72"/>
  <c r="K102" i="92"/>
  <c r="L16" i="28"/>
  <c r="L29" i="31"/>
  <c r="G93" i="49"/>
  <c r="M102" i="27"/>
  <c r="I108" i="89"/>
  <c r="I106" i="88"/>
  <c r="G102" i="41"/>
  <c r="H102" i="70"/>
  <c r="N69" i="33"/>
  <c r="O75" i="83"/>
  <c r="J96" i="40"/>
  <c r="F37" i="28"/>
  <c r="I75" i="90"/>
  <c r="I81" i="39"/>
  <c r="E99" i="45"/>
  <c r="D69" i="86"/>
  <c r="N86" i="37"/>
  <c r="O90" i="62"/>
  <c r="E101" i="37"/>
  <c r="G96" i="86"/>
  <c r="O108" i="19"/>
  <c r="M102" i="49"/>
  <c r="N108" i="66"/>
  <c r="D81" i="70"/>
  <c r="I93" i="56"/>
  <c r="H29" i="28"/>
  <c r="M72" i="90"/>
  <c r="L99" i="63"/>
  <c r="G78" i="89"/>
  <c r="G76" i="88"/>
  <c r="D84" i="35"/>
  <c r="D69" i="83"/>
  <c r="D66" i="85"/>
  <c r="N108" i="69"/>
  <c r="J108" i="33"/>
  <c r="CP43" i="3"/>
  <c r="CA118"/>
  <c r="I90" i="84"/>
  <c r="E108" i="33"/>
  <c r="K83" i="88"/>
  <c r="E9" i="37"/>
  <c r="E63" i="56"/>
  <c r="I101" i="37"/>
  <c r="J69" i="62"/>
  <c r="E63" i="75"/>
  <c r="N72" i="57"/>
  <c r="D24" i="37"/>
  <c r="D90" i="66"/>
  <c r="M102" i="82"/>
  <c r="J63" i="75"/>
  <c r="N78" i="94"/>
  <c r="I69" i="65"/>
  <c r="E90" i="90"/>
  <c r="G45" i="88"/>
  <c r="D102" i="79"/>
  <c r="G84" i="70"/>
  <c r="H105" i="49"/>
  <c r="K48" i="31"/>
  <c r="J102" i="70"/>
  <c r="G16" i="88"/>
  <c r="F96" i="46"/>
  <c r="N69" i="68"/>
  <c r="J17" i="31"/>
  <c r="M63" i="30"/>
  <c r="D75" i="65"/>
  <c r="E32" i="28"/>
  <c r="I87" i="94"/>
  <c r="G84" i="66"/>
  <c r="H95" i="88"/>
  <c r="H11" i="28"/>
  <c r="O63" i="44"/>
  <c r="G93" i="55"/>
  <c r="F51" i="28"/>
  <c r="L69" i="25"/>
  <c r="D61" i="37"/>
  <c r="D63" i="38"/>
  <c r="N71" i="31"/>
  <c r="M69" i="74"/>
  <c r="H90" i="45"/>
  <c r="J102" i="91"/>
  <c r="CH3" i="3"/>
  <c r="CH21" s="1"/>
  <c r="G96" i="49"/>
  <c r="N93" i="73"/>
  <c r="F78" i="87"/>
  <c r="D25" i="28"/>
  <c r="L40" i="37"/>
  <c r="O34" i="28"/>
  <c r="E72" i="49"/>
  <c r="K81" i="40"/>
  <c r="E81" i="93"/>
  <c r="O93" i="55"/>
  <c r="O105" i="61"/>
  <c r="K69" i="69"/>
  <c r="J96" i="83"/>
  <c r="E108" i="70"/>
  <c r="K78" i="39"/>
  <c r="E84" i="25"/>
  <c r="M63" i="80"/>
  <c r="I87" i="91"/>
  <c r="H78" i="72"/>
  <c r="N96" i="75"/>
  <c r="K66" i="84"/>
  <c r="D20" i="37"/>
  <c r="E70" i="88"/>
  <c r="E72" s="1"/>
  <c r="E72" i="89"/>
  <c r="E81" i="30"/>
  <c r="J78" i="62"/>
  <c r="I84" i="25"/>
  <c r="D100" i="88"/>
  <c r="D102" i="89"/>
  <c r="E76" i="28"/>
  <c r="E78" i="29"/>
  <c r="N81" i="53"/>
  <c r="J96" i="81"/>
  <c r="K99" i="91"/>
  <c r="L84" i="47"/>
  <c r="O84" i="62"/>
  <c r="F96" i="90"/>
  <c r="F105" i="77"/>
  <c r="D63" i="44"/>
  <c r="N87" i="74"/>
  <c r="E93" i="30"/>
  <c r="L72" i="45"/>
  <c r="F72" i="59"/>
  <c r="G94" i="88"/>
  <c r="G96" i="89"/>
  <c r="H34" i="31"/>
  <c r="K93" i="78"/>
  <c r="H63" i="63"/>
  <c r="G101" i="37"/>
  <c r="BO66" i="3"/>
  <c r="L87" i="68"/>
  <c r="O84" i="41"/>
  <c r="K46" i="37"/>
  <c r="G90" i="90"/>
  <c r="F75" i="81"/>
  <c r="F93" i="65"/>
  <c r="D84" i="69"/>
  <c r="L103" i="37"/>
  <c r="L105" i="38"/>
  <c r="N49" i="88"/>
  <c r="L27" i="31"/>
  <c r="L90" i="35"/>
  <c r="E90" i="19"/>
  <c r="D90" i="26"/>
  <c r="G96" i="19"/>
  <c r="E84" i="68"/>
  <c r="J21" i="31"/>
  <c r="L81" i="64"/>
  <c r="D108" i="65"/>
  <c r="O102" i="34"/>
  <c r="E99" i="77"/>
  <c r="I84" i="60"/>
  <c r="K10" i="28"/>
  <c r="H84" i="66"/>
  <c r="O96" i="44"/>
  <c r="O72" i="77"/>
  <c r="E69" i="75"/>
  <c r="I99" i="26"/>
  <c r="D72" i="40"/>
  <c r="O86" i="88"/>
  <c r="L81" i="46"/>
  <c r="G105" i="55"/>
  <c r="K78" i="84"/>
  <c r="E20" i="31"/>
  <c r="H26" i="88"/>
  <c r="I24" i="31"/>
  <c r="K99" i="68"/>
  <c r="J84" i="47"/>
  <c r="D87" i="34"/>
  <c r="D93" i="48"/>
  <c r="L102" i="91"/>
  <c r="K102" i="46"/>
  <c r="F59" i="37"/>
  <c r="G108" i="91"/>
  <c r="F96" i="89"/>
  <c r="F94" i="88"/>
  <c r="I102" i="40"/>
  <c r="J63" i="55"/>
  <c r="L73" i="31"/>
  <c r="L75" i="32"/>
  <c r="E90" i="71"/>
  <c r="D72" i="58"/>
  <c r="F78" i="65"/>
  <c r="I102" i="25"/>
  <c r="L87" i="34"/>
  <c r="L72" i="63"/>
  <c r="I69" i="51"/>
  <c r="H78" i="93"/>
  <c r="K75" i="83"/>
  <c r="H81" i="33"/>
  <c r="I69" i="27"/>
  <c r="L84" i="51"/>
  <c r="F66" i="54"/>
  <c r="O66" i="78"/>
  <c r="L66" i="53"/>
  <c r="E69" i="52"/>
  <c r="F93" i="82"/>
  <c r="F75" i="48"/>
  <c r="M87" i="35"/>
  <c r="I25" i="28"/>
  <c r="O90" i="47"/>
  <c r="N63" i="76"/>
  <c r="F102" i="39"/>
  <c r="E66" i="67"/>
  <c r="F99" i="51"/>
  <c r="CH120" i="3"/>
  <c r="O78" i="65"/>
  <c r="K32" i="22"/>
  <c r="M108" i="47"/>
  <c r="M56" i="28"/>
  <c r="G78" i="56"/>
  <c r="N90" i="41"/>
  <c r="G108" i="25"/>
  <c r="N30" i="31"/>
  <c r="I90" i="29"/>
  <c r="I88" i="28"/>
  <c r="D90" i="30"/>
  <c r="L66" i="86"/>
  <c r="K72" i="93"/>
  <c r="M39" i="37"/>
  <c r="L33"/>
  <c r="I33" i="28"/>
  <c r="F93" i="91"/>
  <c r="L78" i="35"/>
  <c r="D102" i="71"/>
  <c r="J81" i="54"/>
  <c r="M63" i="93"/>
  <c r="G78" i="91"/>
  <c r="I99" i="81"/>
  <c r="CH119" i="3"/>
  <c r="D108" i="68"/>
  <c r="I81" i="38"/>
  <c r="I79" i="37"/>
  <c r="J87" i="76"/>
  <c r="E66" i="65"/>
  <c r="I7" i="88"/>
  <c r="O18" i="31"/>
  <c r="G72" i="62"/>
  <c r="M72" i="64"/>
  <c r="F93" i="85"/>
  <c r="I99" i="78"/>
  <c r="G93" i="41"/>
  <c r="F26" i="88"/>
  <c r="O78" i="81"/>
  <c r="K87" i="60"/>
  <c r="E81" i="50"/>
  <c r="H23" i="37"/>
  <c r="G63" i="70"/>
  <c r="O90" i="71"/>
  <c r="E99" i="63"/>
  <c r="O102" i="90"/>
  <c r="H83" i="31"/>
  <c r="E99" i="38"/>
  <c r="E97" i="37"/>
  <c r="N13" i="88"/>
  <c r="O93" i="53"/>
  <c r="I105" i="77"/>
  <c r="J33" i="88"/>
  <c r="J90" i="82"/>
  <c r="E75" i="66"/>
  <c r="M5" i="28"/>
  <c r="L71" i="88"/>
  <c r="K81" i="34"/>
  <c r="G92" i="88"/>
  <c r="E81" i="69"/>
  <c r="N81" i="60"/>
  <c r="E90" i="56"/>
  <c r="CK88" i="3"/>
  <c r="G78" i="29"/>
  <c r="G76" i="28"/>
  <c r="J93" i="65"/>
  <c r="I69" i="71"/>
  <c r="L65" i="31"/>
  <c r="M66" i="25"/>
  <c r="D66" i="47"/>
  <c r="H75" i="41"/>
  <c r="L96" i="40"/>
  <c r="M78" i="82"/>
  <c r="G105" i="71"/>
  <c r="H93" i="51"/>
  <c r="H102" i="77"/>
  <c r="G108" i="92"/>
  <c r="J36" i="88"/>
  <c r="M49" i="37"/>
  <c r="G72" i="35"/>
  <c r="D87" i="41"/>
  <c r="M108" i="67"/>
  <c r="J81" i="94"/>
  <c r="K90" i="53"/>
  <c r="O96" i="30"/>
  <c r="O32" i="28"/>
  <c r="O96" i="73"/>
  <c r="D104" i="88"/>
  <c r="D72" i="29"/>
  <c r="D70" i="28"/>
  <c r="F69" i="49"/>
  <c r="G25" i="28"/>
  <c r="H87" i="56"/>
  <c r="M90" i="62"/>
  <c r="J38" i="28"/>
  <c r="E87" i="89"/>
  <c r="E85" i="88"/>
  <c r="O93" i="46"/>
  <c r="N66" i="58"/>
  <c r="D54" i="28"/>
  <c r="N102" i="19"/>
  <c r="L78" i="38"/>
  <c r="L76" i="37"/>
  <c r="G93" i="34"/>
  <c r="H95" i="28"/>
  <c r="D99" i="78"/>
  <c r="CB88" i="3"/>
  <c r="I93" i="38"/>
  <c r="I91" i="37"/>
  <c r="F72" i="85"/>
  <c r="M105" i="63"/>
  <c r="F72" i="54"/>
  <c r="H90" i="43"/>
  <c r="F99" i="35"/>
  <c r="L96" i="53"/>
  <c r="G84" i="43"/>
  <c r="L25" i="88"/>
  <c r="I63" i="51"/>
  <c r="O105" i="44"/>
  <c r="M75"/>
  <c r="L56" i="31"/>
  <c r="O75" i="43"/>
  <c r="N96" i="46"/>
  <c r="L63" i="90"/>
  <c r="E79" i="28"/>
  <c r="E81" i="29"/>
  <c r="D93" i="77"/>
  <c r="F75" i="80"/>
  <c r="N28" i="37"/>
  <c r="E90" i="34"/>
  <c r="M82" i="28"/>
  <c r="M84" i="29"/>
  <c r="D54" i="31"/>
  <c r="L74" i="88"/>
  <c r="M15" i="37"/>
  <c r="O102" i="78"/>
  <c r="L81" i="33"/>
  <c r="H105" i="30"/>
  <c r="E66" i="45"/>
  <c r="L64" i="88"/>
  <c r="L66" i="89"/>
  <c r="I84" i="59"/>
  <c r="K6" i="88"/>
  <c r="H72" i="19"/>
  <c r="G63" i="36"/>
  <c r="M87" i="70"/>
  <c r="E87" i="30"/>
  <c r="K102" i="59"/>
  <c r="N99" i="77"/>
  <c r="J84" i="84"/>
  <c r="E86" i="28"/>
  <c r="F75" i="93"/>
  <c r="J105" i="70"/>
  <c r="J81" i="61"/>
  <c r="I27" i="28"/>
  <c r="I99" i="59"/>
  <c r="G99" i="58"/>
  <c r="J102" i="36"/>
  <c r="I81" i="44"/>
  <c r="L18" i="31"/>
  <c r="L66" i="70"/>
  <c r="M102" i="46"/>
  <c r="F75" i="30"/>
  <c r="F93" i="42"/>
  <c r="H78" i="50"/>
  <c r="K102" i="60"/>
  <c r="K19" i="28"/>
  <c r="K72" i="78"/>
  <c r="G72" i="76"/>
  <c r="L12" i="88"/>
  <c r="G75" i="68"/>
  <c r="E23" i="37"/>
  <c r="K99" i="27"/>
  <c r="D63" i="45"/>
  <c r="E63" i="92"/>
  <c r="N84" i="91"/>
  <c r="N87" i="63"/>
  <c r="N93" i="40"/>
  <c r="I72" i="65"/>
  <c r="K72" i="43"/>
  <c r="E95" i="28"/>
  <c r="G102" i="39"/>
  <c r="H66" i="63"/>
  <c r="L51" i="37"/>
  <c r="F84" i="79"/>
  <c r="J87" i="40"/>
  <c r="F80" i="88"/>
  <c r="N66" i="72"/>
  <c r="J96" i="84"/>
  <c r="F87" i="51"/>
  <c r="K99" i="40"/>
  <c r="I64" i="28"/>
  <c r="I66" i="29"/>
  <c r="D96" i="45"/>
  <c r="H75" i="66"/>
  <c r="L96" i="54"/>
  <c r="I43" i="31"/>
  <c r="I4" i="88"/>
  <c r="M105" i="81"/>
  <c r="F63" i="74"/>
  <c r="G87" i="94"/>
  <c r="I63" i="35"/>
  <c r="D88" i="31"/>
  <c r="D90" i="32"/>
  <c r="K102" i="62"/>
  <c r="D108" i="36"/>
  <c r="J90" i="44"/>
  <c r="H41" i="88"/>
  <c r="N69" i="86"/>
  <c r="F63" i="68"/>
  <c r="N99" i="62"/>
  <c r="M70" i="37"/>
  <c r="M72" i="38"/>
  <c r="J8" i="37"/>
  <c r="G93" i="45"/>
  <c r="K45" i="28"/>
  <c r="I93" i="65"/>
  <c r="I72" i="73"/>
  <c r="N108" i="63"/>
  <c r="O44" i="88"/>
  <c r="D11" i="37"/>
  <c r="F72" i="26"/>
  <c r="O87" i="78"/>
  <c r="E22" i="88"/>
  <c r="D96" i="80"/>
  <c r="I55" i="31"/>
  <c r="N90" i="56"/>
  <c r="F78" i="30"/>
  <c r="M81" i="57"/>
  <c r="H105" i="60"/>
  <c r="I87" i="78"/>
  <c r="M37" i="88"/>
  <c r="E81" i="87"/>
  <c r="D66" i="76"/>
  <c r="J108" i="35"/>
  <c r="J78" i="41"/>
  <c r="K81" i="44"/>
  <c r="J90" i="25"/>
  <c r="L25" i="37"/>
  <c r="H72" i="45"/>
  <c r="E80" i="88"/>
  <c r="G69" i="82"/>
  <c r="K108" i="26"/>
  <c r="F90" i="34"/>
  <c r="J72" i="45"/>
  <c r="I108" i="58"/>
  <c r="M90" i="54"/>
  <c r="F72" i="73"/>
  <c r="F105" i="85"/>
  <c r="F78" i="32"/>
  <c r="F76" i="31"/>
  <c r="G29" i="37"/>
  <c r="K22" i="28"/>
  <c r="E101" i="88"/>
  <c r="I75" i="40"/>
  <c r="O74" i="31"/>
  <c r="D96" i="94"/>
  <c r="M93" i="47"/>
  <c r="N59" i="88"/>
  <c r="J87" i="49"/>
  <c r="G105" i="35"/>
  <c r="O75" i="58"/>
  <c r="F87" i="41"/>
  <c r="E81" i="60"/>
  <c r="F90" i="39"/>
  <c r="G92" i="37"/>
  <c r="O93" i="61"/>
  <c r="N81" i="41"/>
  <c r="O99" i="84"/>
  <c r="I69" i="59"/>
  <c r="O75" i="26"/>
  <c r="D75" i="52"/>
  <c r="M81" i="69"/>
  <c r="M86" i="28"/>
  <c r="N108" i="84"/>
  <c r="N84" i="26"/>
  <c r="H87" i="61"/>
  <c r="J93" i="94"/>
  <c r="K75" i="70"/>
  <c r="F99" i="40"/>
  <c r="J75" i="19"/>
  <c r="G96" i="91"/>
  <c r="O87" i="84"/>
  <c r="H99" i="72"/>
  <c r="L56" i="37"/>
  <c r="H78" i="40"/>
  <c r="CS27" i="3"/>
  <c r="CD113"/>
  <c r="CD87"/>
  <c r="H69" i="56"/>
  <c r="I84" i="30"/>
  <c r="M93" i="91"/>
  <c r="M15" i="88"/>
  <c r="H69" i="87"/>
  <c r="I72" i="53"/>
  <c r="N99" i="30"/>
  <c r="G90" i="25"/>
  <c r="K84" i="60"/>
  <c r="G9" i="28"/>
  <c r="K90" i="35"/>
  <c r="H75" i="63"/>
  <c r="N78" i="38"/>
  <c r="N76" i="37"/>
  <c r="N93" i="41"/>
  <c r="L53" i="31"/>
  <c r="D58" i="37"/>
  <c r="M90" i="70"/>
  <c r="K11" i="28"/>
  <c r="G63" i="93"/>
  <c r="E66" i="47"/>
  <c r="H108" i="49"/>
  <c r="E87" i="40"/>
  <c r="D42" i="31"/>
  <c r="L75" i="81"/>
  <c r="H27" i="28"/>
  <c r="G104"/>
  <c r="H78" i="52"/>
  <c r="L84" i="76"/>
  <c r="F84" i="86"/>
  <c r="G24" i="31"/>
  <c r="L66" i="94"/>
  <c r="E53" i="88"/>
  <c r="I102" i="58"/>
  <c r="J99" i="51"/>
  <c r="L41" i="28"/>
  <c r="D93" i="44"/>
  <c r="D31" i="28"/>
  <c r="H71" i="88"/>
  <c r="G106" i="31"/>
  <c r="G108" i="32"/>
  <c r="D81" i="46"/>
  <c r="D99"/>
  <c r="I102" i="27"/>
  <c r="E56" i="88"/>
  <c r="O93" i="64"/>
  <c r="H75" i="87"/>
  <c r="D69" i="81"/>
  <c r="E32" i="37"/>
  <c r="K96" i="58"/>
  <c r="K90" i="54"/>
  <c r="O93" i="60"/>
  <c r="G96" i="78"/>
  <c r="I84" i="91"/>
  <c r="D24" i="28"/>
  <c r="E105" i="43"/>
  <c r="M66" i="38"/>
  <c r="M64" i="37"/>
  <c r="J99" i="73"/>
  <c r="D17" i="28"/>
  <c r="O83" i="37"/>
  <c r="K87" i="71"/>
  <c r="J108" i="80"/>
  <c r="J13" i="37"/>
  <c r="E105" i="58"/>
  <c r="E96" i="26"/>
  <c r="D39" i="22"/>
  <c r="E38"/>
  <c r="F38" s="1"/>
  <c r="H42" i="37"/>
  <c r="F102" i="62"/>
  <c r="M84" i="38"/>
  <c r="M82" i="37"/>
  <c r="G63" i="26"/>
  <c r="O6" i="31"/>
  <c r="G17" i="37"/>
  <c r="K55" i="28"/>
  <c r="K75" i="69"/>
  <c r="G41" i="88"/>
  <c r="F102" i="53"/>
  <c r="O51" i="31"/>
  <c r="F5" i="37"/>
  <c r="M7" i="31"/>
  <c r="N69" i="62"/>
  <c r="O63" i="40"/>
  <c r="M53" i="31"/>
  <c r="O75" i="57"/>
  <c r="M99" i="74"/>
  <c r="N105" i="76"/>
  <c r="E93" i="75"/>
  <c r="E102" i="74"/>
  <c r="K39" i="31"/>
  <c r="E99" i="87"/>
  <c r="O11" i="28"/>
  <c r="I77"/>
  <c r="E93" i="81"/>
  <c r="H51" i="28"/>
  <c r="G63" i="50"/>
  <c r="N96" i="56"/>
  <c r="E96" i="69"/>
  <c r="M69" i="94"/>
  <c r="F96" i="25"/>
  <c r="G72" i="45"/>
  <c r="F93" i="57"/>
  <c r="N87" i="94"/>
  <c r="N69" i="19"/>
  <c r="L78" i="27"/>
  <c r="K68" i="31"/>
  <c r="F38" i="88"/>
  <c r="N5" i="37"/>
  <c r="O40" i="88"/>
  <c r="I78" i="81"/>
  <c r="H90" i="52"/>
  <c r="J93" i="84"/>
  <c r="G84" i="48"/>
  <c r="K102" i="83"/>
  <c r="O53" i="88"/>
  <c r="F10" i="28"/>
  <c r="O99" i="63"/>
  <c r="M63" i="83"/>
  <c r="M21" i="28"/>
  <c r="F84" i="75"/>
  <c r="I102" i="71"/>
  <c r="M63" i="57"/>
  <c r="G72" i="66"/>
  <c r="N84" i="25"/>
  <c r="N63" i="77"/>
  <c r="N96" i="51"/>
  <c r="N99" i="74"/>
  <c r="H69" i="71"/>
  <c r="H72" i="39"/>
  <c r="K108" i="78"/>
  <c r="O39" i="37"/>
  <c r="G66" i="68"/>
  <c r="J99" i="34"/>
  <c r="L99" i="93"/>
  <c r="G93" i="82"/>
  <c r="L96" i="46"/>
  <c r="F17" i="28"/>
  <c r="E93" i="73"/>
  <c r="O105" i="69"/>
  <c r="N87" i="73"/>
  <c r="O99" i="70"/>
  <c r="H78" i="73"/>
  <c r="J28" i="28"/>
  <c r="H78" i="80"/>
  <c r="H69" i="92"/>
  <c r="M102" i="58"/>
  <c r="I99" i="42"/>
  <c r="D87" i="40"/>
  <c r="J66" i="91"/>
  <c r="L72" i="49"/>
  <c r="G81"/>
  <c r="E78" i="87"/>
  <c r="E78" i="32"/>
  <c r="E76" i="31"/>
  <c r="G105" i="81"/>
  <c r="I75" i="93"/>
  <c r="H63" i="57"/>
  <c r="N54" i="28"/>
  <c r="G44" i="37"/>
  <c r="E75" i="36"/>
  <c r="H99" i="60"/>
  <c r="F49" i="37"/>
  <c r="E87" i="65"/>
  <c r="D108" i="39"/>
  <c r="D90" i="75"/>
  <c r="G102" i="64"/>
  <c r="M59" i="31"/>
  <c r="E38" i="37"/>
  <c r="N78" i="54"/>
  <c r="G81" i="39"/>
  <c r="N81" i="80"/>
  <c r="G105" i="79"/>
  <c r="L66" i="65"/>
  <c r="L72" i="41"/>
  <c r="E96" i="55"/>
  <c r="E108" i="52"/>
  <c r="H105" i="71"/>
  <c r="L84" i="90"/>
  <c r="I90" i="33"/>
  <c r="K69" i="78"/>
  <c r="N75" i="84"/>
  <c r="H108" i="64"/>
  <c r="F69" i="86"/>
  <c r="L59" i="88"/>
  <c r="M67" i="31"/>
  <c r="M69" i="32"/>
  <c r="L87" i="51"/>
  <c r="H7" i="28"/>
  <c r="O32" i="37"/>
  <c r="D69" i="29"/>
  <c r="D67" i="28"/>
  <c r="J69" i="26"/>
  <c r="O78" i="36"/>
  <c r="O99" i="67"/>
  <c r="E90" i="84"/>
  <c r="F105" i="44"/>
  <c r="N75" i="91"/>
  <c r="J108" i="19"/>
  <c r="J69" i="77"/>
  <c r="J72" i="58"/>
  <c r="D90" i="25"/>
  <c r="H93" i="40"/>
  <c r="N78" i="83"/>
  <c r="L84" i="54"/>
  <c r="D69" i="92"/>
  <c r="E102" i="91"/>
  <c r="N93" i="25"/>
  <c r="D69" i="34"/>
  <c r="N83" i="28"/>
  <c r="N84" s="1"/>
  <c r="F87" i="68"/>
  <c r="I72" i="82"/>
  <c r="J25" i="88"/>
  <c r="E79" i="37"/>
  <c r="E81" i="38"/>
  <c r="H108" i="60"/>
  <c r="L108" i="62"/>
  <c r="L102" i="34"/>
  <c r="F87" i="48"/>
  <c r="L63" i="77"/>
  <c r="M78" i="56"/>
  <c r="L75" i="33"/>
  <c r="N102" i="75"/>
  <c r="L93" i="39"/>
  <c r="O93" i="56"/>
  <c r="K81"/>
  <c r="D90" i="45"/>
  <c r="O84" i="82"/>
  <c r="F75" i="62"/>
  <c r="L23" i="31"/>
  <c r="H52" i="28"/>
  <c r="F81" i="69"/>
  <c r="O75" i="29"/>
  <c r="O73" i="28"/>
  <c r="J63" i="50"/>
  <c r="O81" i="76"/>
  <c r="K72" i="26"/>
  <c r="E102" i="85"/>
  <c r="I15" i="37"/>
  <c r="H69" i="79"/>
  <c r="M93" i="69"/>
  <c r="N63" i="47"/>
  <c r="F96" i="94"/>
  <c r="F87" i="44"/>
  <c r="H36" i="31"/>
  <c r="I84" i="69"/>
  <c r="J75" i="79"/>
  <c r="K16" i="28"/>
  <c r="K47" i="88"/>
  <c r="N78" i="64"/>
  <c r="D108" i="79"/>
  <c r="G72" i="68"/>
  <c r="E28" i="28"/>
  <c r="H66" i="91"/>
  <c r="E87" i="79"/>
  <c r="G86" i="28"/>
  <c r="G87" s="1"/>
  <c r="N63" i="35"/>
  <c r="D87" i="87"/>
  <c r="M18" i="31"/>
  <c r="I66" i="67"/>
  <c r="E29" i="31"/>
  <c r="L18" i="88"/>
  <c r="E99" i="46"/>
  <c r="O108" i="80"/>
  <c r="E63" i="65"/>
  <c r="D93" i="85"/>
  <c r="O72" i="53"/>
  <c r="M38" i="31"/>
  <c r="H108" i="65"/>
  <c r="L108" i="51"/>
  <c r="G102" i="47"/>
  <c r="N66" i="53"/>
  <c r="E81" i="45"/>
  <c r="D105" i="58"/>
  <c r="J105" i="33"/>
  <c r="I63" i="34"/>
  <c r="DN29" i="3"/>
  <c r="DA39"/>
  <c r="DN28" s="1"/>
  <c r="CL117"/>
  <c r="J108" i="60"/>
  <c r="G87" i="35"/>
  <c r="J81" i="64"/>
  <c r="H63" i="50"/>
  <c r="E66" i="46"/>
  <c r="D69" i="61"/>
  <c r="N45" i="31"/>
  <c r="E78" i="53"/>
  <c r="J78" i="73"/>
  <c r="E39" i="37"/>
  <c r="I25"/>
  <c r="F69" i="50"/>
  <c r="I96" i="54"/>
  <c r="H86" i="88"/>
  <c r="N105" i="44"/>
  <c r="F69" i="58"/>
  <c r="D81" i="77"/>
  <c r="N108" i="61"/>
  <c r="N8" i="31"/>
  <c r="D93" i="69"/>
  <c r="F66" i="55"/>
  <c r="O28" i="31"/>
  <c r="G46" i="88"/>
  <c r="F55" i="31"/>
  <c r="K63" i="32"/>
  <c r="K61" i="31"/>
  <c r="K63" s="1"/>
  <c r="G66" i="83"/>
  <c r="J75"/>
  <c r="G69" i="35"/>
  <c r="H102" i="25"/>
  <c r="F105" i="84"/>
  <c r="E39" i="88"/>
  <c r="J58" i="37"/>
  <c r="I96" i="45"/>
  <c r="M69" i="70"/>
  <c r="K86" i="37"/>
  <c r="E69" i="55"/>
  <c r="G90" i="51"/>
  <c r="J27" i="88"/>
  <c r="H102" i="81"/>
  <c r="I72" i="87"/>
  <c r="F46" i="37"/>
  <c r="D105" i="82"/>
  <c r="H102" i="41"/>
  <c r="E81" i="92"/>
  <c r="K81" i="58"/>
  <c r="L66" i="68"/>
  <c r="M67" i="37"/>
  <c r="M69" i="38"/>
  <c r="K73" i="88"/>
  <c r="K75" s="1"/>
  <c r="K75" i="89"/>
  <c r="H81" i="59"/>
  <c r="H31" i="88"/>
  <c r="M16"/>
  <c r="J78" i="36"/>
  <c r="E69" i="26"/>
  <c r="E75" i="59"/>
  <c r="I26" i="88"/>
  <c r="I66" i="87"/>
  <c r="H87" i="44"/>
  <c r="L66" i="26"/>
  <c r="I66" i="73"/>
  <c r="O50" i="28"/>
  <c r="CW55" i="3"/>
  <c r="E93" i="90"/>
  <c r="H96" i="93"/>
  <c r="D41" i="31"/>
  <c r="K81" i="19"/>
  <c r="G63" i="81"/>
  <c r="G63" i="67"/>
  <c r="G48" i="37"/>
  <c r="F69" i="77"/>
  <c r="M58" i="31"/>
  <c r="L81" i="59"/>
  <c r="K78" i="74"/>
  <c r="K29" i="28"/>
  <c r="F93" i="60"/>
  <c r="K66" i="40"/>
  <c r="J63" i="36"/>
  <c r="E93" i="78"/>
  <c r="G62" i="28"/>
  <c r="F55"/>
  <c r="D69" i="54"/>
  <c r="L105" i="93"/>
  <c r="K83" i="37"/>
  <c r="L81" i="87"/>
  <c r="H69" i="90"/>
  <c r="K81" i="67"/>
  <c r="L99" i="82"/>
  <c r="E69" i="83"/>
  <c r="E66" i="49"/>
  <c r="O84" i="86"/>
  <c r="H72" i="44"/>
  <c r="E92" i="37"/>
  <c r="L96" i="84"/>
  <c r="E87" i="57"/>
  <c r="F93" i="44"/>
  <c r="J66" i="87"/>
  <c r="K87" i="41"/>
  <c r="O108"/>
  <c r="M31" i="31"/>
  <c r="I14"/>
  <c r="F90" i="32"/>
  <c r="F88" i="31"/>
  <c r="G75" i="59"/>
  <c r="O90" i="72"/>
  <c r="K72" i="47"/>
  <c r="K72" i="71"/>
  <c r="I99" i="66"/>
  <c r="M54" i="31"/>
  <c r="J72" i="66"/>
  <c r="N81" i="90"/>
  <c r="M97" i="37"/>
  <c r="M99" i="38"/>
  <c r="D76" i="31"/>
  <c r="D78" i="32"/>
  <c r="N67" i="28"/>
  <c r="N69" i="29"/>
  <c r="O87" i="65"/>
  <c r="H9" i="28"/>
  <c r="N63" i="45"/>
  <c r="D5" i="28"/>
  <c r="G66" i="54"/>
  <c r="N69" i="81"/>
  <c r="K72" i="90"/>
  <c r="F66" i="58"/>
  <c r="G96" i="25"/>
  <c r="M96" i="51"/>
  <c r="H98" i="28"/>
  <c r="J68" i="37"/>
  <c r="L105" i="49"/>
  <c r="D102" i="33"/>
  <c r="L99" i="47"/>
  <c r="H14" i="37"/>
  <c r="L90" i="82"/>
  <c r="N84" i="84"/>
  <c r="E108" i="49"/>
  <c r="K96" i="54"/>
  <c r="D84" i="76"/>
  <c r="D75" i="49"/>
  <c r="K84" i="33"/>
  <c r="E99" i="79"/>
  <c r="N24" i="28"/>
  <c r="G102" i="25"/>
  <c r="J102" i="58"/>
  <c r="M105" i="94"/>
  <c r="H93" i="34"/>
  <c r="E90" i="52"/>
  <c r="D69" i="57"/>
  <c r="D105" i="41"/>
  <c r="K93" i="87"/>
  <c r="AB14" i="96"/>
  <c r="E41" i="31"/>
  <c r="V14" i="96"/>
  <c r="I66" i="74"/>
  <c r="F105" i="94"/>
  <c r="F87" i="91"/>
  <c r="M77" i="31"/>
  <c r="H47"/>
  <c r="D84" i="72"/>
  <c r="F23" i="28"/>
  <c r="K66" i="45"/>
  <c r="D102" i="35"/>
  <c r="M90" i="48"/>
  <c r="L58" i="88"/>
  <c r="L32"/>
  <c r="E81" i="85"/>
  <c r="G84" i="56"/>
  <c r="D102" i="80"/>
  <c r="J108" i="64"/>
  <c r="E72" i="39"/>
  <c r="E29" i="37"/>
  <c r="K38" i="31"/>
  <c r="E96" i="53"/>
  <c r="N84" i="62"/>
  <c r="L100" i="28"/>
  <c r="L102" i="29"/>
  <c r="O90" i="67"/>
  <c r="L84" i="61"/>
  <c r="H23" i="28"/>
  <c r="F72" i="51"/>
  <c r="N78" i="30"/>
  <c r="J87" i="70"/>
  <c r="G93" i="57"/>
  <c r="I83" i="37"/>
  <c r="H34" i="28"/>
  <c r="O69" i="57"/>
  <c r="G38" i="37"/>
  <c r="K63" i="94"/>
  <c r="H66" i="48"/>
  <c r="I69" i="30"/>
  <c r="D32" i="88"/>
  <c r="F87" i="53"/>
  <c r="H105" i="36"/>
  <c r="F105" i="75"/>
  <c r="D84" i="40"/>
  <c r="K69" i="33"/>
  <c r="N72" i="27"/>
  <c r="E105" i="19"/>
  <c r="I75" i="63"/>
  <c r="D72" i="90"/>
  <c r="J78" i="30"/>
  <c r="I105" i="44"/>
  <c r="G96" i="83"/>
  <c r="N99" i="59"/>
  <c r="M98" i="31"/>
  <c r="H81" i="72"/>
  <c r="K66" i="61"/>
  <c r="F78" i="68"/>
  <c r="H96" i="76"/>
  <c r="CD119" i="3"/>
  <c r="J47" i="31"/>
  <c r="L102" i="64"/>
  <c r="N52" i="37"/>
  <c r="O97"/>
  <c r="O99" i="38"/>
  <c r="H84" i="91"/>
  <c r="N78" i="46"/>
  <c r="E75" i="87"/>
  <c r="K90" i="19"/>
  <c r="I39" i="37"/>
  <c r="L87" i="62"/>
  <c r="D105" i="67"/>
  <c r="L55" i="88"/>
  <c r="F108" i="54"/>
  <c r="G102" i="32"/>
  <c r="G100" i="31"/>
  <c r="L87" i="71"/>
  <c r="H25" i="31"/>
  <c r="I90" i="81"/>
  <c r="J69" i="59"/>
  <c r="N108" i="36"/>
  <c r="H78" i="61"/>
  <c r="O62" i="88"/>
  <c r="O63" s="1"/>
  <c r="F63" i="82"/>
  <c r="F81" i="87"/>
  <c r="O24" i="88"/>
  <c r="D108" i="91"/>
  <c r="F72" i="76"/>
  <c r="H105" i="69"/>
  <c r="I69" i="54"/>
  <c r="H90" i="32"/>
  <c r="H88" i="31"/>
  <c r="E93" i="68"/>
  <c r="G63" i="83"/>
  <c r="G72" i="49"/>
  <c r="J106" i="37"/>
  <c r="J108" s="1"/>
  <c r="J108" i="38"/>
  <c r="H59" i="88"/>
  <c r="I89" i="37"/>
  <c r="J96" i="90"/>
  <c r="F93" i="68"/>
  <c r="L105" i="36"/>
  <c r="J72" i="48"/>
  <c r="F72" i="45"/>
  <c r="K65" i="37"/>
  <c r="L105" i="55"/>
  <c r="L102" i="72"/>
  <c r="L87" i="94"/>
  <c r="I75" i="65"/>
  <c r="L99" i="64"/>
  <c r="F64" i="88"/>
  <c r="F66" i="89"/>
  <c r="N63" i="81"/>
  <c r="O98" i="31"/>
  <c r="F102" i="61"/>
  <c r="N107" i="31"/>
  <c r="O69" i="47"/>
  <c r="G108" i="77"/>
  <c r="E54" i="28"/>
  <c r="D72" i="93"/>
  <c r="O78" i="51"/>
  <c r="M84" i="33"/>
  <c r="L57" i="31"/>
  <c r="G69" i="94"/>
  <c r="D78" i="91"/>
  <c r="N96" i="73"/>
  <c r="M93" i="39"/>
  <c r="G87" i="32"/>
  <c r="G85" i="31"/>
  <c r="J70"/>
  <c r="J72" i="32"/>
  <c r="E96" i="25"/>
  <c r="I8" i="88"/>
  <c r="E75" i="57"/>
  <c r="K96" i="59"/>
  <c r="N97" i="88"/>
  <c r="N99" i="89"/>
  <c r="O66" i="94"/>
  <c r="N51" i="37"/>
  <c r="I102" i="93"/>
  <c r="N29" i="37"/>
  <c r="N42" i="88"/>
  <c r="L93" i="61"/>
  <c r="G78" i="50"/>
  <c r="F98" i="88"/>
  <c r="E105" i="74"/>
  <c r="M87" i="44"/>
  <c r="G66" i="91"/>
  <c r="F102" i="36"/>
  <c r="H107" i="37"/>
  <c r="F75" i="29"/>
  <c r="F73" i="28"/>
  <c r="E69" i="39"/>
  <c r="H96" i="63"/>
  <c r="H82" i="88"/>
  <c r="H84" i="89"/>
  <c r="J63" i="29"/>
  <c r="J61" i="28"/>
  <c r="L54"/>
  <c r="K99" i="94"/>
  <c r="F93" i="43"/>
  <c r="J93" i="27"/>
  <c r="E90" i="29"/>
  <c r="E88" i="28"/>
  <c r="N77" i="37"/>
  <c r="D81" i="56"/>
  <c r="H27" i="88"/>
  <c r="I108" i="56"/>
  <c r="E90" i="68"/>
  <c r="I108" i="84"/>
  <c r="G83" i="37"/>
  <c r="E63" i="70"/>
  <c r="J90" i="58"/>
  <c r="E105" i="55"/>
  <c r="G87" i="58"/>
  <c r="F105" i="67"/>
  <c r="H108" i="85"/>
  <c r="E11" i="88"/>
  <c r="F108" i="50"/>
  <c r="H87" i="60"/>
  <c r="N53" i="37"/>
  <c r="K81" i="83"/>
  <c r="H69" i="73"/>
  <c r="K99" i="67"/>
  <c r="L92" i="31"/>
  <c r="D83" i="37"/>
  <c r="E93" i="69"/>
  <c r="E96" i="34"/>
  <c r="I108" i="67"/>
  <c r="M84" i="83"/>
  <c r="E69" i="69"/>
  <c r="L48" i="28"/>
  <c r="N66" i="65"/>
  <c r="N87" i="70"/>
  <c r="H75" i="62"/>
  <c r="J53" i="31"/>
  <c r="E75" i="52"/>
  <c r="D99" i="83"/>
  <c r="H99" i="74"/>
  <c r="J67" i="28"/>
  <c r="J69" i="29"/>
  <c r="L72" i="91"/>
  <c r="I66" i="92"/>
  <c r="F84"/>
  <c r="K17" i="28"/>
  <c r="N69" i="46"/>
  <c r="F8" i="88"/>
  <c r="N102" i="94"/>
  <c r="F4" i="88"/>
  <c r="I90" i="25"/>
  <c r="J51" i="37"/>
  <c r="E105" i="51"/>
  <c r="M108" i="46"/>
  <c r="F102" i="77"/>
  <c r="I23" i="28"/>
  <c r="G66" i="92"/>
  <c r="O84" i="47"/>
  <c r="O102" i="86"/>
  <c r="O93" i="80"/>
  <c r="K71" i="88"/>
  <c r="D105" i="39"/>
  <c r="N96" i="65"/>
  <c r="O63" i="77"/>
  <c r="N105" i="39"/>
  <c r="H104" i="28"/>
  <c r="N18" i="88"/>
  <c r="G108" i="55"/>
  <c r="J58" i="88"/>
  <c r="J80" i="28"/>
  <c r="G58" i="37"/>
  <c r="H102" i="48"/>
  <c r="F63" i="52"/>
  <c r="N78" i="51"/>
  <c r="G99" i="91"/>
  <c r="L69" i="73"/>
  <c r="H79" i="28"/>
  <c r="H81" i="29"/>
  <c r="K96" i="40"/>
  <c r="K69" i="45"/>
  <c r="F108" i="39"/>
  <c r="F32" i="31"/>
  <c r="O75" i="60"/>
  <c r="H22" i="28"/>
  <c r="H22" i="24" s="1"/>
  <c r="H99" i="44"/>
  <c r="O90" i="64"/>
  <c r="F72" i="74"/>
  <c r="D105" i="72"/>
  <c r="E72" i="36"/>
  <c r="K63" i="65"/>
  <c r="E75" i="41"/>
  <c r="L81" i="51"/>
  <c r="M105" i="62"/>
  <c r="I105" i="86"/>
  <c r="L90" i="26"/>
  <c r="I85" i="28"/>
  <c r="I87" i="29"/>
  <c r="I8" i="28"/>
  <c r="D87" i="35"/>
  <c r="O45" i="37"/>
  <c r="I38" i="88"/>
  <c r="M84" i="47"/>
  <c r="I96" i="87"/>
  <c r="N42" i="37"/>
  <c r="H90" i="26"/>
  <c r="J87" i="44"/>
  <c r="F84" i="58"/>
  <c r="E51" i="37"/>
  <c r="I69" i="82"/>
  <c r="I33" i="37"/>
  <c r="H72" i="65"/>
  <c r="O96" i="36"/>
  <c r="K84" i="83"/>
  <c r="O105" i="86"/>
  <c r="H84" i="68"/>
  <c r="L78" i="56"/>
  <c r="E75" i="74"/>
  <c r="G81" i="50"/>
  <c r="L65" i="88"/>
  <c r="L105" i="32"/>
  <c r="L103" i="31"/>
  <c r="L29" i="28"/>
  <c r="G66" i="30"/>
  <c r="M102" i="59"/>
  <c r="J81" i="83"/>
  <c r="F84" i="50"/>
  <c r="O105" i="43"/>
  <c r="M84" i="94"/>
  <c r="I84" i="74"/>
  <c r="L34" i="28"/>
  <c r="L63" i="66"/>
  <c r="J54" i="88"/>
  <c r="D107" i="37"/>
  <c r="G79" i="28"/>
  <c r="G81" i="29"/>
  <c r="M63" i="19"/>
  <c r="F78" i="61"/>
  <c r="K72" i="75"/>
  <c r="J30" i="88"/>
  <c r="F90" i="82"/>
  <c r="L87" i="47"/>
  <c r="N34" i="37"/>
  <c r="G69" i="80"/>
  <c r="D78" i="36"/>
  <c r="D93" i="78"/>
  <c r="N66" i="55"/>
  <c r="G69" i="34"/>
  <c r="I18" i="88"/>
  <c r="O93" i="58"/>
  <c r="N105" i="55"/>
  <c r="M92" i="31"/>
  <c r="I108" i="50"/>
  <c r="G75" i="73"/>
  <c r="H99" i="82"/>
  <c r="L99" i="94"/>
  <c r="D63" i="79"/>
  <c r="G75" i="50"/>
  <c r="I75" i="29"/>
  <c r="I73" i="28"/>
  <c r="CI96" i="3"/>
  <c r="CJ104" s="1"/>
  <c r="N96" i="34"/>
  <c r="G72" i="90"/>
  <c r="M75" i="55"/>
  <c r="M87" i="59"/>
  <c r="L63" i="61"/>
  <c r="E87" i="70"/>
  <c r="L93" i="90"/>
  <c r="J78" i="92"/>
  <c r="H75" i="90"/>
  <c r="H76" i="31"/>
  <c r="H78" i="32"/>
  <c r="M96" i="43"/>
  <c r="O78" i="33"/>
  <c r="L108" i="27"/>
  <c r="J66" i="19"/>
  <c r="E63" i="45"/>
  <c r="O63" i="58"/>
  <c r="H108" i="78"/>
  <c r="H63" i="39"/>
  <c r="D99" i="79"/>
  <c r="J19" i="31"/>
  <c r="D46" i="37"/>
  <c r="O99" i="81"/>
  <c r="G99" i="71"/>
  <c r="O19" i="88"/>
  <c r="D102" i="70"/>
  <c r="D94" i="31"/>
  <c r="D96" i="32"/>
  <c r="M96" i="56"/>
  <c r="G81" i="85"/>
  <c r="H75" i="34"/>
  <c r="M81" i="25"/>
  <c r="H65" i="31"/>
  <c r="H75" i="86"/>
  <c r="J75" i="71"/>
  <c r="J23" i="31"/>
  <c r="F46" i="28"/>
  <c r="G93" i="92"/>
  <c r="G81" i="93"/>
  <c r="H14" i="28"/>
  <c r="H14" i="24" s="1"/>
  <c r="K66" i="41"/>
  <c r="L75" i="67"/>
  <c r="H81" i="65"/>
  <c r="O93" i="26"/>
  <c r="J12" i="37"/>
  <c r="D33" i="88"/>
  <c r="O94" i="37"/>
  <c r="O96" i="38"/>
  <c r="D46" i="88"/>
  <c r="M87" i="33"/>
  <c r="O108" i="40"/>
  <c r="F75" i="78"/>
  <c r="O96" i="26"/>
  <c r="M40" i="31"/>
  <c r="K87" i="40"/>
  <c r="M72" i="67"/>
  <c r="D104" i="28"/>
  <c r="H81" i="47"/>
  <c r="F70" i="37"/>
  <c r="F72" i="38"/>
  <c r="D102" i="90"/>
  <c r="H75" i="61"/>
  <c r="M87" i="45"/>
  <c r="I108" i="71"/>
  <c r="K105" i="90"/>
  <c r="D66" i="54"/>
  <c r="H78" i="64"/>
  <c r="D72" i="75"/>
  <c r="K96" i="70"/>
  <c r="D102" i="26"/>
  <c r="L72" i="57"/>
  <c r="G69" i="70"/>
  <c r="M29" i="28"/>
  <c r="H62"/>
  <c r="N78" i="77"/>
  <c r="O102" i="40"/>
  <c r="F75" i="35"/>
  <c r="N51" i="88"/>
  <c r="I54"/>
  <c r="E63" i="19"/>
  <c r="D104" i="37"/>
  <c r="O93" i="89"/>
  <c r="O91" i="88"/>
  <c r="E78" i="67"/>
  <c r="E69" i="42"/>
  <c r="I102" i="80"/>
  <c r="I93" i="87"/>
  <c r="D78" i="67"/>
  <c r="E108" i="76"/>
  <c r="N64" i="31"/>
  <c r="N66" i="32"/>
  <c r="L69" i="54"/>
  <c r="M69" i="30"/>
  <c r="H93" i="70"/>
  <c r="L87" i="44"/>
  <c r="J81" i="53"/>
  <c r="O66" i="32"/>
  <c r="O64" i="31"/>
  <c r="E96" i="40"/>
  <c r="L99" i="72"/>
  <c r="O69" i="55"/>
  <c r="E99" i="76"/>
  <c r="F90" i="25"/>
  <c r="D84" i="45"/>
  <c r="I67" i="31"/>
  <c r="I69" i="32"/>
  <c r="L95" i="37"/>
  <c r="G8" i="88"/>
  <c r="F84" i="53"/>
  <c r="I108" i="48"/>
  <c r="D69" i="51"/>
  <c r="G108" i="66"/>
  <c r="M103" i="88"/>
  <c r="M105" s="1"/>
  <c r="M105" i="89"/>
  <c r="M69" i="62"/>
  <c r="F87" i="25"/>
  <c r="K81" i="55"/>
  <c r="J81" i="34"/>
  <c r="F75" i="92"/>
  <c r="O46" i="37"/>
  <c r="E78" i="75"/>
  <c r="O102" i="26"/>
  <c r="I84" i="94"/>
  <c r="I87" i="44"/>
  <c r="J101" i="88"/>
  <c r="N65"/>
  <c r="N108" i="56"/>
  <c r="G67" i="88"/>
  <c r="G69" i="89"/>
  <c r="D99" i="27"/>
  <c r="O72" i="75"/>
  <c r="G93" i="27"/>
  <c r="E66" i="51"/>
  <c r="G74" i="88"/>
  <c r="D75" i="60"/>
  <c r="M78" i="53"/>
  <c r="E75" i="84"/>
  <c r="E69" i="90"/>
  <c r="F90" i="74"/>
  <c r="O75" i="45"/>
  <c r="O63" i="74"/>
  <c r="D81" i="92"/>
  <c r="L69" i="90"/>
  <c r="G66" i="93"/>
  <c r="CG114" i="3"/>
  <c r="CG94"/>
  <c r="E28" i="37"/>
  <c r="M63" i="44"/>
  <c r="E93" i="61"/>
  <c r="I28" i="31"/>
  <c r="E96" i="77"/>
  <c r="M105" i="33"/>
  <c r="O78" i="49"/>
  <c r="J105" i="59"/>
  <c r="O93" i="34"/>
  <c r="H105" i="46"/>
  <c r="H84" i="70"/>
  <c r="K69" i="84"/>
  <c r="G93" i="61"/>
  <c r="H102" i="92"/>
  <c r="O104" i="31"/>
  <c r="K66" i="54"/>
  <c r="K99" i="49"/>
  <c r="CY30" i="3"/>
  <c r="CJ97"/>
  <c r="M66" i="41"/>
  <c r="L108" i="68"/>
  <c r="M14" i="37"/>
  <c r="O69" i="27"/>
  <c r="N90" i="81"/>
  <c r="N72" i="94"/>
  <c r="N63" i="40"/>
  <c r="N93" i="60"/>
  <c r="L75" i="83"/>
  <c r="K93" i="77"/>
  <c r="L87" i="83"/>
  <c r="H81" i="56"/>
  <c r="H84" i="47"/>
  <c r="K69" i="90"/>
  <c r="F45" i="31"/>
  <c r="F45" i="24" s="1"/>
  <c r="D99" i="63"/>
  <c r="G90" i="62"/>
  <c r="J93" i="43"/>
  <c r="L34" i="37"/>
  <c r="E96" i="66"/>
  <c r="J77" i="88"/>
  <c r="K77" i="31"/>
  <c r="H104" i="37"/>
  <c r="N81" i="94"/>
  <c r="E63" i="74"/>
  <c r="O69" i="25"/>
  <c r="D63" i="72"/>
  <c r="I93" i="75"/>
  <c r="M11" i="37"/>
  <c r="G78" i="27"/>
  <c r="M78"/>
  <c r="J84" i="40"/>
  <c r="I7" i="37"/>
  <c r="D102" i="64"/>
  <c r="I84" i="32"/>
  <c r="I82" i="31"/>
  <c r="D63" i="62"/>
  <c r="H66" i="82"/>
  <c r="E108" i="61"/>
  <c r="O96" i="34"/>
  <c r="J54" i="31"/>
  <c r="L104"/>
  <c r="H93" i="41"/>
  <c r="I85" i="88"/>
  <c r="I87" i="89"/>
  <c r="M78" i="70"/>
  <c r="H93" i="59"/>
  <c r="N69"/>
  <c r="L69" i="30"/>
  <c r="N90" i="46"/>
  <c r="O78" i="72"/>
  <c r="H72" i="68"/>
  <c r="H84" i="74"/>
  <c r="H108" i="71"/>
  <c r="O72" i="25"/>
  <c r="H96" i="59"/>
  <c r="K69" i="44"/>
  <c r="F42" i="88"/>
  <c r="H90" i="64"/>
  <c r="I96" i="60"/>
  <c r="M64" i="31"/>
  <c r="M66" i="32"/>
  <c r="L93" i="40"/>
  <c r="I72" i="56"/>
  <c r="J78" i="70"/>
  <c r="K87" i="72"/>
  <c r="O84" i="94"/>
  <c r="D78" i="64"/>
  <c r="F81" i="81"/>
  <c r="L66" i="64"/>
  <c r="G87" i="68"/>
  <c r="M102" i="90"/>
  <c r="I90" i="69"/>
  <c r="O84" i="90"/>
  <c r="O87" i="56"/>
  <c r="G107" i="37"/>
  <c r="H84" i="61"/>
  <c r="K66" i="93"/>
  <c r="F81" i="44"/>
  <c r="M81" i="91"/>
  <c r="D75" i="77"/>
  <c r="L69"/>
  <c r="J87" i="58"/>
  <c r="N14" i="31"/>
  <c r="D66" i="26"/>
  <c r="I78" i="83"/>
  <c r="K69" i="51"/>
  <c r="J66" i="53"/>
  <c r="N107" i="37"/>
  <c r="D63" i="71"/>
  <c r="O87" i="32"/>
  <c r="O85" i="31"/>
  <c r="O87" s="1"/>
  <c r="D63" i="61"/>
  <c r="E21" i="37"/>
  <c r="J99" i="72"/>
  <c r="J102" i="25"/>
  <c r="H102" i="34"/>
  <c r="H61" i="37"/>
  <c r="H63" i="38"/>
  <c r="O69" i="58"/>
  <c r="E87" i="63"/>
  <c r="J102" i="56"/>
  <c r="L63" i="68"/>
  <c r="K57" i="88"/>
  <c r="E75" i="75"/>
  <c r="M20" i="37"/>
  <c r="H95" i="31"/>
  <c r="H96" s="1"/>
  <c r="G90" i="45"/>
  <c r="O102" i="25"/>
  <c r="O81" i="26"/>
  <c r="L12" i="28"/>
  <c r="H96" i="49"/>
  <c r="N72" i="33"/>
  <c r="O99" i="27"/>
  <c r="D96" i="71"/>
  <c r="D99" i="41"/>
  <c r="E90" i="80"/>
  <c r="H99" i="89"/>
  <c r="H97" i="88"/>
  <c r="N102" i="80"/>
  <c r="J105" i="48"/>
  <c r="J66" i="43"/>
  <c r="G72" i="67"/>
  <c r="D9" i="28"/>
  <c r="F99" i="71"/>
  <c r="M75" i="81"/>
  <c r="O102" i="76"/>
  <c r="M105" i="65"/>
  <c r="E54" i="88"/>
  <c r="O93" i="44"/>
  <c r="G12" i="37"/>
  <c r="D81" i="50"/>
  <c r="M75" i="61"/>
  <c r="I78" i="19"/>
  <c r="E105" i="94"/>
  <c r="F69" i="78"/>
  <c r="L75" i="73"/>
  <c r="N96" i="72"/>
  <c r="D108" i="70"/>
  <c r="K87" i="58"/>
  <c r="I84" i="40"/>
  <c r="N90" i="57"/>
  <c r="E90" i="64"/>
  <c r="F84" i="33"/>
  <c r="K63" i="83"/>
  <c r="E81" i="46"/>
  <c r="L78" i="44"/>
  <c r="L93" i="49"/>
  <c r="E90" i="25"/>
  <c r="N87" i="80"/>
  <c r="L105" i="51"/>
  <c r="N108" i="65"/>
  <c r="O66" i="56"/>
  <c r="J73" i="31"/>
  <c r="J75" i="32"/>
  <c r="M105" i="90"/>
  <c r="G63" i="41"/>
  <c r="M90" i="67"/>
  <c r="E81" i="72"/>
  <c r="D72" i="53"/>
  <c r="K108" i="48"/>
  <c r="G87" i="82"/>
  <c r="N90" i="94"/>
  <c r="H81" i="92"/>
  <c r="N96" i="89"/>
  <c r="N94" i="88"/>
  <c r="L65" i="28"/>
  <c r="F81" i="90"/>
  <c r="J63" i="76"/>
  <c r="K108" i="36"/>
  <c r="O72" i="92"/>
  <c r="O75" i="75"/>
  <c r="M72" i="83"/>
  <c r="H69" i="85"/>
  <c r="N72" i="32"/>
  <c r="N70" i="31"/>
  <c r="N72" s="1"/>
  <c r="J81" i="33"/>
  <c r="E108" i="65"/>
  <c r="O11" i="88"/>
  <c r="J39" i="31"/>
  <c r="H75" i="49"/>
  <c r="J72" i="19"/>
  <c r="J66" i="44"/>
  <c r="F98" i="37"/>
  <c r="F12"/>
  <c r="F93" i="77"/>
  <c r="G66" i="94"/>
  <c r="G84" i="33"/>
  <c r="K81" i="53"/>
  <c r="O72" i="54"/>
  <c r="D78" i="66"/>
  <c r="K72" i="56"/>
  <c r="D99" i="62"/>
  <c r="I99" i="36"/>
  <c r="G78" i="60"/>
  <c r="N54" i="37"/>
  <c r="E96" i="54"/>
  <c r="H81" i="46"/>
  <c r="H108" i="70"/>
  <c r="L72" i="60"/>
  <c r="K33" i="28"/>
  <c r="L105" i="84"/>
  <c r="M66" i="43"/>
  <c r="F93" i="63"/>
  <c r="M108" i="45"/>
  <c r="H96" i="62"/>
  <c r="H100" i="31"/>
  <c r="H102" s="1"/>
  <c r="H102" i="32"/>
  <c r="F84" i="94"/>
  <c r="J96" i="60"/>
  <c r="F72" i="63"/>
  <c r="N108" i="39"/>
  <c r="L87" i="65"/>
  <c r="M65" i="37"/>
  <c r="J102" i="35"/>
  <c r="N84" i="68"/>
  <c r="E102" i="86"/>
  <c r="H93" i="52"/>
  <c r="H105" i="57"/>
  <c r="N99" i="84"/>
  <c r="N11" i="88"/>
  <c r="I84" i="55"/>
  <c r="O75" i="25"/>
  <c r="G102" i="74"/>
  <c r="D78" i="82"/>
  <c r="L72" i="87"/>
  <c r="I102" i="70"/>
  <c r="G71" i="28"/>
  <c r="F72" i="44"/>
  <c r="I108" i="43"/>
  <c r="F96" i="82"/>
  <c r="F63" i="30"/>
  <c r="N72" i="75"/>
  <c r="D90" i="82"/>
  <c r="E87" i="73"/>
  <c r="F69" i="93"/>
  <c r="N63" i="25"/>
  <c r="L78" i="59"/>
  <c r="N89" i="31"/>
  <c r="N62" i="88"/>
  <c r="H93" i="82"/>
  <c r="D100" i="28"/>
  <c r="D102" i="29"/>
  <c r="H105" i="82"/>
  <c r="H89" i="31"/>
  <c r="I84" i="93"/>
  <c r="K93" i="75"/>
  <c r="D69" i="27"/>
  <c r="L75" i="82"/>
  <c r="G81" i="26"/>
  <c r="F67" i="28"/>
  <c r="F69" i="29"/>
  <c r="M10" i="37"/>
  <c r="J69" i="56"/>
  <c r="G14" i="37"/>
  <c r="L87" i="45"/>
  <c r="K30" i="37"/>
  <c r="F100" i="31"/>
  <c r="F102" i="32"/>
  <c r="F38" i="31"/>
  <c r="E93" i="39"/>
  <c r="M66" i="87"/>
  <c r="M11" i="31"/>
  <c r="M72" i="48"/>
  <c r="F79" i="28"/>
  <c r="F81" i="29"/>
  <c r="D84" i="78"/>
  <c r="N75" i="26"/>
  <c r="M78" i="48"/>
  <c r="H81" i="58"/>
  <c r="L102" i="90"/>
  <c r="M8" i="31"/>
  <c r="O63" i="67"/>
  <c r="H63" i="64"/>
  <c r="F9" i="31"/>
  <c r="E100" i="88"/>
  <c r="E102" i="89"/>
  <c r="E63" i="82"/>
  <c r="I99" i="73"/>
  <c r="L8" i="28"/>
  <c r="J87" i="93"/>
  <c r="K99" i="82"/>
  <c r="F31" i="31"/>
  <c r="G93" i="52"/>
  <c r="I96" i="77"/>
  <c r="H108" i="63"/>
  <c r="I62" i="31"/>
  <c r="I63" i="36"/>
  <c r="F50" i="88"/>
  <c r="F84" i="49"/>
  <c r="M69" i="91"/>
  <c r="I90" i="59"/>
  <c r="L84" i="35"/>
  <c r="N69"/>
  <c r="N69" i="58"/>
  <c r="N99" i="35"/>
  <c r="D84" i="41"/>
  <c r="N99" i="19"/>
  <c r="E57" i="37"/>
  <c r="D66" i="80"/>
  <c r="F88" i="28"/>
  <c r="F90" i="29"/>
  <c r="M66" i="44"/>
  <c r="D38" i="28"/>
  <c r="D106" i="31"/>
  <c r="D108" s="1"/>
  <c r="D108" i="32"/>
  <c r="E36" i="31"/>
  <c r="F81" i="63"/>
  <c r="J87" i="73"/>
  <c r="H46" i="28"/>
  <c r="M72" i="70"/>
  <c r="M63" i="64"/>
  <c r="G66" i="26"/>
  <c r="K80" i="37"/>
  <c r="J66" i="25"/>
  <c r="O102" i="92"/>
  <c r="H75" i="60"/>
  <c r="G99" i="70"/>
  <c r="N66" i="30"/>
  <c r="I99" i="38"/>
  <c r="I97" i="37"/>
  <c r="I69" i="83"/>
  <c r="M99" i="60"/>
  <c r="G63" i="72"/>
  <c r="D78" i="27"/>
  <c r="I93" i="57"/>
  <c r="I93" i="40"/>
  <c r="K108" i="41"/>
  <c r="N63" i="51"/>
  <c r="O84"/>
  <c r="G75" i="47"/>
  <c r="E102"/>
  <c r="E84" i="70"/>
  <c r="K87" i="69"/>
  <c r="L102" i="66"/>
  <c r="D8" i="37"/>
  <c r="K72" i="25"/>
  <c r="D17" i="88"/>
  <c r="I53"/>
  <c r="N102" i="30"/>
  <c r="J49" i="31"/>
  <c r="F105" i="43"/>
  <c r="G89" i="28"/>
  <c r="J75" i="78"/>
  <c r="O12" i="31"/>
  <c r="O81" i="57"/>
  <c r="F90" i="51"/>
  <c r="H102" i="67"/>
  <c r="N66" i="70"/>
  <c r="G65" i="37"/>
  <c r="G6" i="31"/>
  <c r="O102" i="66"/>
  <c r="H66" i="34"/>
  <c r="J90" i="19"/>
  <c r="M99" i="62"/>
  <c r="E84" i="79"/>
  <c r="O96" i="87"/>
  <c r="M72" i="45"/>
  <c r="K99" i="72"/>
  <c r="K84" i="56"/>
  <c r="L5" i="88"/>
  <c r="I81" i="33"/>
  <c r="K28" i="88"/>
  <c r="H75" i="52"/>
  <c r="L106" i="88"/>
  <c r="L108" i="89"/>
  <c r="H84" i="87"/>
  <c r="I8" i="31"/>
  <c r="K93" i="76"/>
  <c r="O92" i="28"/>
  <c r="H87" i="62"/>
  <c r="O66" i="36"/>
  <c r="H87" i="78"/>
  <c r="I105" i="92"/>
  <c r="M99" i="94"/>
  <c r="J39" i="37"/>
  <c r="F96" i="49"/>
  <c r="D93"/>
  <c r="E63" i="71"/>
  <c r="E99" i="48"/>
  <c r="F102" i="40"/>
  <c r="L45" i="31"/>
  <c r="E105" i="77"/>
  <c r="J63" i="45"/>
  <c r="K102" i="77"/>
  <c r="L99" i="66"/>
  <c r="E87" i="34"/>
  <c r="O87" i="36"/>
  <c r="L52" i="31"/>
  <c r="O99" i="74"/>
  <c r="I102" i="41"/>
  <c r="J93" i="93"/>
  <c r="L42" i="31"/>
  <c r="K104" i="88"/>
  <c r="G87" i="26"/>
  <c r="N108" i="74"/>
  <c r="D20" i="31"/>
  <c r="H102" i="83"/>
  <c r="G57" i="31"/>
  <c r="L72" i="83"/>
  <c r="D108" i="67"/>
  <c r="G96" i="54"/>
  <c r="E84" i="87"/>
  <c r="I69" i="62"/>
  <c r="D69" i="94"/>
  <c r="H72" i="87"/>
  <c r="H72" i="73"/>
  <c r="K102" i="27"/>
  <c r="O75" i="70"/>
  <c r="N108" i="34"/>
  <c r="O108" i="77"/>
  <c r="O24" i="31"/>
  <c r="G99" i="48"/>
  <c r="G84" i="41"/>
  <c r="O84" i="77"/>
  <c r="F96" i="73"/>
  <c r="K99" i="19"/>
  <c r="K87" i="90"/>
  <c r="K45" i="31"/>
  <c r="I102" i="49"/>
  <c r="J69" i="91"/>
  <c r="I78" i="43"/>
  <c r="E102" i="64"/>
  <c r="I69" i="36"/>
  <c r="N102" i="27"/>
  <c r="N69" i="82"/>
  <c r="J90" i="65"/>
  <c r="O90" i="87"/>
  <c r="M90" i="74"/>
  <c r="K108" i="73"/>
  <c r="G90"/>
  <c r="L72" i="92"/>
  <c r="O99" i="59"/>
  <c r="M81" i="64"/>
  <c r="I75" i="92"/>
  <c r="G87" i="69"/>
  <c r="H18" i="28"/>
  <c r="J63" i="83"/>
  <c r="E78" i="59"/>
  <c r="E81" i="43"/>
  <c r="M72" i="36"/>
  <c r="L105" i="75"/>
  <c r="K18" i="28"/>
  <c r="I66" i="66"/>
  <c r="H63" i="62"/>
  <c r="E102" i="39"/>
  <c r="M105" i="91"/>
  <c r="D17" i="37"/>
  <c r="J52" i="28"/>
  <c r="J5" i="31"/>
  <c r="G105" i="56"/>
  <c r="D81" i="65"/>
  <c r="D83" i="28"/>
  <c r="E57" i="88"/>
  <c r="H63" i="94"/>
  <c r="L96" i="59"/>
  <c r="D87" i="76"/>
  <c r="O72" i="56"/>
  <c r="K96" i="87"/>
  <c r="O108"/>
  <c r="O87" i="55"/>
  <c r="K108" i="64"/>
  <c r="G72" i="71"/>
  <c r="M108" i="44"/>
  <c r="F99" i="83"/>
  <c r="I102" i="43"/>
  <c r="E66" i="79"/>
  <c r="G72" i="74"/>
  <c r="F47" i="28"/>
  <c r="O108" i="71"/>
  <c r="K75" i="77"/>
  <c r="L108" i="75"/>
  <c r="I105" i="45"/>
  <c r="G84" i="93"/>
  <c r="G105" i="60"/>
  <c r="I94" i="31"/>
  <c r="I96" i="32"/>
  <c r="D42" i="28"/>
  <c r="D105" i="42"/>
  <c r="G72" i="38"/>
  <c r="G70" i="37"/>
  <c r="I105" i="30"/>
  <c r="M96" i="70"/>
  <c r="D105" i="83"/>
  <c r="I90" i="30"/>
  <c r="D87" i="52"/>
  <c r="N93" i="69"/>
  <c r="O11" i="31"/>
  <c r="J105" i="66"/>
  <c r="L28" i="37"/>
  <c r="I96" i="90"/>
  <c r="I81" i="73"/>
  <c r="I63" i="33"/>
  <c r="K75" i="46"/>
  <c r="L63" i="27"/>
  <c r="G81" i="76"/>
  <c r="H49" i="28"/>
  <c r="G81" i="79"/>
  <c r="O40" i="28"/>
  <c r="G108" i="46"/>
  <c r="N104" i="37"/>
  <c r="D99" i="19"/>
  <c r="K87"/>
  <c r="L63" i="67"/>
  <c r="G87" i="81"/>
  <c r="L99" i="77"/>
  <c r="E87" i="81"/>
  <c r="M102" i="30"/>
  <c r="J75" i="49"/>
  <c r="D66" i="69"/>
  <c r="I96" i="72"/>
  <c r="J78" i="60"/>
  <c r="D87" i="90"/>
  <c r="N35" i="28"/>
  <c r="D69" i="68"/>
  <c r="J90" i="49"/>
  <c r="J107" i="31"/>
  <c r="K96" i="93"/>
  <c r="H66" i="86"/>
  <c r="N66" i="48"/>
  <c r="N99" i="63"/>
  <c r="F96" i="44"/>
  <c r="K108" i="75"/>
  <c r="H75" i="83"/>
  <c r="K14" i="31"/>
  <c r="J90" i="30"/>
  <c r="K105" i="47"/>
  <c r="N99" i="40"/>
  <c r="N108" i="27"/>
  <c r="D108" i="50"/>
  <c r="N99" i="45"/>
  <c r="O72" i="38"/>
  <c r="O70" i="37"/>
  <c r="O72" s="1"/>
  <c r="F102" i="59"/>
  <c r="F66" i="92"/>
  <c r="I69" i="81"/>
  <c r="I96" i="35"/>
  <c r="K90" i="94"/>
  <c r="J93" i="50"/>
  <c r="I93" i="90"/>
  <c r="E90" i="85"/>
  <c r="E84" i="51"/>
  <c r="I102" i="19"/>
  <c r="E108" i="34"/>
  <c r="N99" i="51"/>
  <c r="J66" i="41"/>
  <c r="H69" i="25"/>
  <c r="K81" i="57"/>
  <c r="O37" i="31"/>
  <c r="I18"/>
  <c r="J25" i="37"/>
  <c r="F105" i="47"/>
  <c r="G63" i="54"/>
  <c r="H108" i="72"/>
  <c r="I29" i="37"/>
  <c r="N63" i="36"/>
  <c r="O96" i="55"/>
  <c r="G43" i="31"/>
  <c r="G66" i="84"/>
  <c r="D72" i="25"/>
  <c r="F96" i="35"/>
  <c r="D78" i="61"/>
  <c r="D93" i="79"/>
  <c r="I75" i="64"/>
  <c r="N96" i="48"/>
  <c r="G90" i="87"/>
  <c r="N84" i="58"/>
  <c r="G87" i="71"/>
  <c r="M78" i="72"/>
  <c r="F75" i="45"/>
  <c r="F78" i="25"/>
  <c r="I63" i="48"/>
  <c r="F108" i="82"/>
  <c r="O27" i="31"/>
  <c r="M71" i="88"/>
  <c r="K108" i="46"/>
  <c r="D90" i="74"/>
  <c r="K19" i="88"/>
  <c r="M47"/>
  <c r="G81" i="43"/>
  <c r="E102" i="27"/>
  <c r="J75" i="63"/>
  <c r="F66" i="75"/>
  <c r="N96" i="41"/>
  <c r="M63" i="91"/>
  <c r="I29" i="88"/>
  <c r="G78" i="52"/>
  <c r="D87" i="71"/>
  <c r="G19" i="88"/>
  <c r="H93" i="64"/>
  <c r="K59" i="31"/>
  <c r="O81" i="80"/>
  <c r="D105" i="46"/>
  <c r="I101" i="28"/>
  <c r="E102" i="54"/>
  <c r="E96" i="71"/>
  <c r="M66" i="48"/>
  <c r="S14" i="96"/>
  <c r="I44" i="28"/>
  <c r="J96" i="69"/>
  <c r="E105" i="87"/>
  <c r="I93" i="64"/>
  <c r="D75" i="92"/>
  <c r="K66" i="32"/>
  <c r="K64" i="31"/>
  <c r="G105" i="39"/>
  <c r="H99" i="57"/>
  <c r="D102" i="60"/>
  <c r="D87" i="81"/>
  <c r="O87" i="83"/>
  <c r="E70" i="37"/>
  <c r="E72" s="1"/>
  <c r="E72" i="38"/>
  <c r="L90" i="86"/>
  <c r="O99" i="83"/>
  <c r="D75" i="39"/>
  <c r="L66" i="36"/>
  <c r="F93" i="32"/>
  <c r="F91" i="31"/>
  <c r="K99" i="86"/>
  <c r="K72" i="27"/>
  <c r="L108" i="93"/>
  <c r="J90" i="68"/>
  <c r="G69" i="79"/>
  <c r="F72" i="43"/>
  <c r="E59" i="37"/>
  <c r="H105" i="19"/>
  <c r="I87" i="59"/>
  <c r="L108" i="76"/>
  <c r="M90" i="81"/>
  <c r="L56" i="88"/>
  <c r="G108" i="26"/>
  <c r="K99" i="80"/>
  <c r="H41" i="28"/>
  <c r="H47"/>
  <c r="H66" i="75"/>
  <c r="K78" i="72"/>
  <c r="M9" i="88"/>
  <c r="D63" i="26"/>
  <c r="E50" i="31"/>
  <c r="I81" i="62"/>
  <c r="L78" i="43"/>
  <c r="K102" i="19"/>
  <c r="F81" i="82"/>
  <c r="O4" i="37"/>
  <c r="N85" i="31"/>
  <c r="N87" i="32"/>
  <c r="O93"/>
  <c r="O91" i="31"/>
  <c r="O22" i="37"/>
  <c r="N81" i="66"/>
  <c r="I87" i="40"/>
  <c r="D99" i="53"/>
  <c r="K26" i="28"/>
  <c r="M81" i="53"/>
  <c r="E102" i="82"/>
  <c r="L105" i="64"/>
  <c r="O50" i="88"/>
  <c r="H107" i="28"/>
  <c r="E72" i="56"/>
  <c r="E102" i="25"/>
  <c r="L63" i="64"/>
  <c r="J84" i="35"/>
  <c r="E69" i="71"/>
  <c r="L84" i="91"/>
  <c r="F22" i="31"/>
  <c r="O74" i="37"/>
  <c r="L90" i="65"/>
  <c r="M84" i="77"/>
  <c r="K87" i="56"/>
  <c r="N87" i="46"/>
  <c r="M44" i="28"/>
  <c r="M90" i="40"/>
  <c r="L15" i="28"/>
  <c r="F63" i="53"/>
  <c r="M90" i="33"/>
  <c r="N81" i="48"/>
  <c r="J99" i="79"/>
  <c r="F63" i="42"/>
  <c r="O43" i="37"/>
  <c r="D27" i="88"/>
  <c r="E108" i="19"/>
  <c r="O99" i="82"/>
  <c r="F93" i="74"/>
  <c r="L90" i="33"/>
  <c r="L90" i="36"/>
  <c r="D65" i="28"/>
  <c r="G63" i="43"/>
  <c r="G7" i="37"/>
  <c r="L81" i="93"/>
  <c r="E78" i="58"/>
  <c r="O87" i="69"/>
  <c r="J75" i="34"/>
  <c r="M108" i="71"/>
  <c r="J93" i="51"/>
  <c r="L93" i="63"/>
  <c r="G102" i="53"/>
  <c r="K86" i="28"/>
  <c r="K86" i="24" s="1"/>
  <c r="E75" i="83"/>
  <c r="O69" i="26"/>
  <c r="E102" i="69"/>
  <c r="D81" i="44"/>
  <c r="L22" i="31"/>
  <c r="G99" i="41"/>
  <c r="H49" i="88"/>
  <c r="G75" i="26"/>
  <c r="G78" i="84"/>
  <c r="M63" i="81"/>
  <c r="F87" i="72"/>
  <c r="N105" i="41"/>
  <c r="G89" i="31"/>
  <c r="I66" i="27"/>
  <c r="M81" i="94"/>
  <c r="G33" i="37"/>
  <c r="I81" i="25"/>
  <c r="G84" i="26"/>
  <c r="E69" i="86"/>
  <c r="F75" i="84"/>
  <c r="L66" i="91"/>
  <c r="N75" i="57"/>
  <c r="K105" i="53"/>
  <c r="D66" i="32"/>
  <c r="D64" i="31"/>
  <c r="K87" i="80"/>
  <c r="M49" i="31"/>
  <c r="K90" i="39"/>
  <c r="I17" i="28"/>
  <c r="N79" i="31"/>
  <c r="N81" i="32"/>
  <c r="M22" i="88"/>
  <c r="D25" i="31"/>
  <c r="K69" i="71"/>
  <c r="N71" i="28"/>
  <c r="G105" i="90"/>
  <c r="H75" i="44"/>
  <c r="H84" i="82"/>
  <c r="M28" i="88"/>
  <c r="L68" i="31"/>
  <c r="D102" i="49"/>
  <c r="H78" i="74"/>
  <c r="F78" i="39"/>
  <c r="E105" i="47"/>
  <c r="F63" i="36"/>
  <c r="G93" i="54"/>
  <c r="E108" i="26"/>
  <c r="K108" i="56"/>
  <c r="N108" i="72"/>
  <c r="F90" i="75"/>
  <c r="J75" i="80"/>
  <c r="O27" i="37"/>
  <c r="J81" i="47"/>
  <c r="M108" i="92"/>
  <c r="O105" i="73"/>
  <c r="F108" i="77"/>
  <c r="J102" i="29"/>
  <c r="J100" i="28"/>
  <c r="M15" i="31"/>
  <c r="O66" i="53"/>
  <c r="J90" i="87"/>
  <c r="O89" i="88"/>
  <c r="E78" i="40"/>
  <c r="N102" i="92"/>
  <c r="E105" i="49"/>
  <c r="J96" i="74"/>
  <c r="K74" i="37"/>
  <c r="O88" i="31"/>
  <c r="O90" s="1"/>
  <c r="O90" i="32"/>
  <c r="K105" i="93"/>
  <c r="K84" i="65"/>
  <c r="J93" i="63"/>
  <c r="E87" i="52"/>
  <c r="J105" i="29"/>
  <c r="J103" i="28"/>
  <c r="L87" i="66"/>
  <c r="L72" i="86"/>
  <c r="F88" i="88"/>
  <c r="F90" i="89"/>
  <c r="G69" i="87"/>
  <c r="H17" i="28"/>
  <c r="J59" i="88"/>
  <c r="L81" i="47"/>
  <c r="H81" i="36"/>
  <c r="G63" i="82"/>
  <c r="F72" i="41"/>
  <c r="N90" i="80"/>
  <c r="N87" i="56"/>
  <c r="F78" i="78"/>
  <c r="K75" i="61"/>
  <c r="J19" i="37"/>
  <c r="J46" i="28"/>
  <c r="F78" i="48"/>
  <c r="G75" i="74"/>
  <c r="I75" i="50"/>
  <c r="K87" i="38"/>
  <c r="K85" i="37"/>
  <c r="D108" i="89"/>
  <c r="D106" i="88"/>
  <c r="F105" i="87"/>
  <c r="E108" i="27"/>
  <c r="N66" i="90"/>
  <c r="L105" i="44"/>
  <c r="H96" i="29"/>
  <c r="H94" i="28"/>
  <c r="L81" i="84"/>
  <c r="L66" i="69"/>
  <c r="L105" i="83"/>
  <c r="I84" i="75"/>
  <c r="M32" i="31"/>
  <c r="L78" i="83"/>
  <c r="M17" i="31"/>
  <c r="I48" i="28"/>
  <c r="G93" i="89"/>
  <c r="G91" i="88"/>
  <c r="G93" s="1"/>
  <c r="E108" i="82"/>
  <c r="E96" i="93"/>
  <c r="K87" i="67"/>
  <c r="D96" i="41"/>
  <c r="J93" i="34"/>
  <c r="H91" i="28"/>
  <c r="H93" i="29"/>
  <c r="K31" i="88"/>
  <c r="H99" i="85"/>
  <c r="G102"/>
  <c r="H72" i="62"/>
  <c r="L32" i="31"/>
  <c r="I75" i="74"/>
  <c r="D99" i="67"/>
  <c r="I40" i="88"/>
  <c r="I105" i="84"/>
  <c r="F63" i="80"/>
  <c r="M104" i="28"/>
  <c r="O66" i="58"/>
  <c r="E69" i="92"/>
  <c r="G99" i="86"/>
  <c r="M90" i="44"/>
  <c r="N84" i="27"/>
  <c r="L84" i="30"/>
  <c r="F72" i="56"/>
  <c r="D96" i="83"/>
  <c r="D63" i="42"/>
  <c r="E86" i="31"/>
  <c r="K92" i="28"/>
  <c r="G81" i="55"/>
  <c r="E93" i="46"/>
  <c r="I44" i="31"/>
  <c r="D96" i="19"/>
  <c r="G63" i="56"/>
  <c r="D97" i="88"/>
  <c r="D99" s="1"/>
  <c r="D99" i="89"/>
  <c r="J69" i="63"/>
  <c r="E63" i="27"/>
  <c r="D6" i="31"/>
  <c r="F108" i="44"/>
  <c r="J14" i="31"/>
  <c r="D74" i="28"/>
  <c r="G107" i="88"/>
  <c r="L101" i="37"/>
  <c r="J85" i="28"/>
  <c r="J87" i="29"/>
  <c r="D90" i="49"/>
  <c r="N99" i="36"/>
  <c r="J8" i="88"/>
  <c r="D65"/>
  <c r="E63" i="54"/>
  <c r="K53" i="28"/>
  <c r="I105" i="62"/>
  <c r="E96" i="94"/>
  <c r="O87" i="43"/>
  <c r="F105" i="19"/>
  <c r="O72" i="82"/>
  <c r="J49" i="88"/>
  <c r="F49" i="31"/>
  <c r="J81" i="87"/>
  <c r="L75" i="66"/>
  <c r="G17" i="88"/>
  <c r="D87" i="42"/>
  <c r="N20" i="31"/>
  <c r="O96" i="54"/>
  <c r="J84" i="81"/>
  <c r="D75"/>
  <c r="H63" i="73"/>
  <c r="O51" i="28"/>
  <c r="G84" i="78"/>
  <c r="E66" i="84"/>
  <c r="J44" i="88"/>
  <c r="J87" i="25"/>
  <c r="K99" i="34"/>
  <c r="I72" i="83"/>
  <c r="G87" i="90"/>
  <c r="H105" i="51"/>
  <c r="H99" i="61"/>
  <c r="L84" i="59"/>
  <c r="I99" i="50"/>
  <c r="F87" i="93"/>
  <c r="D14" i="88"/>
  <c r="J99" i="43"/>
  <c r="O84" i="60"/>
  <c r="K102" i="61"/>
  <c r="J80" i="88"/>
  <c r="D102" i="61"/>
  <c r="I108" i="51"/>
  <c r="K69" i="60"/>
  <c r="G72" i="19"/>
  <c r="L42" i="28"/>
  <c r="D72" i="84"/>
  <c r="E17" i="88"/>
  <c r="G90" i="85"/>
  <c r="J72" i="80"/>
  <c r="J90" i="34"/>
  <c r="N72" i="83"/>
  <c r="D84" i="48"/>
  <c r="G63" i="42"/>
  <c r="H90" i="78"/>
  <c r="I93" i="74"/>
  <c r="E93" i="87"/>
  <c r="O108" i="34"/>
  <c r="M90" i="87"/>
  <c r="H102" i="69"/>
  <c r="N108" i="57"/>
  <c r="M102" i="26"/>
  <c r="J90" i="38"/>
  <c r="J88" i="37"/>
  <c r="N80"/>
  <c r="K78" i="25"/>
  <c r="E72" i="35"/>
  <c r="G41" i="28"/>
  <c r="D31" i="31"/>
  <c r="E63" i="39"/>
  <c r="F13" i="37"/>
  <c r="M90" i="49"/>
  <c r="L95" i="88"/>
  <c r="H106" i="37"/>
  <c r="H108" i="38"/>
  <c r="N72" i="69"/>
  <c r="O105" i="76"/>
  <c r="E69" i="41"/>
  <c r="F102" i="55"/>
  <c r="D84" i="79"/>
  <c r="E102" i="90"/>
  <c r="M101" i="88"/>
  <c r="L99" i="75"/>
  <c r="L72" i="66"/>
  <c r="N96" i="68"/>
  <c r="E81" i="73"/>
  <c r="G14" i="31"/>
  <c r="E90" i="89"/>
  <c r="E88" i="88"/>
  <c r="O16" i="28"/>
  <c r="L105" i="45"/>
  <c r="K63" i="19"/>
  <c r="N53" i="88"/>
  <c r="N87" i="58"/>
  <c r="J108" i="74"/>
  <c r="H105" i="27"/>
  <c r="K51" i="28"/>
  <c r="M108" i="57"/>
  <c r="M99" i="43"/>
  <c r="O105" i="54"/>
  <c r="J23" i="28"/>
  <c r="N90" i="25"/>
  <c r="H93" i="83"/>
  <c r="G99" i="87"/>
  <c r="O87" i="62"/>
  <c r="I81" i="46"/>
  <c r="D84" i="71"/>
  <c r="F78" i="76"/>
  <c r="N90" i="83"/>
  <c r="M32" i="88"/>
  <c r="N63" i="61"/>
  <c r="F25" i="28"/>
  <c r="H32"/>
  <c r="F58"/>
  <c r="N19" i="88"/>
  <c r="L84" i="77"/>
  <c r="G96" i="30"/>
  <c r="O43" i="31"/>
  <c r="O43" i="24" s="1"/>
  <c r="M39" i="31"/>
  <c r="L44" i="28"/>
  <c r="L96" i="82"/>
  <c r="J99" i="71"/>
  <c r="F87" i="49"/>
  <c r="J93" i="33"/>
  <c r="N90" i="51"/>
  <c r="F88" i="37"/>
  <c r="F90" i="38"/>
  <c r="M52" i="31"/>
  <c r="I66" i="45"/>
  <c r="G75" i="25"/>
  <c r="M66" i="19"/>
  <c r="M90" i="86"/>
  <c r="M87" i="53"/>
  <c r="H104" i="31"/>
  <c r="H84" i="92"/>
  <c r="M84" i="59"/>
  <c r="J108" i="39"/>
  <c r="I108" i="77"/>
  <c r="J81" i="69"/>
  <c r="L108"/>
  <c r="K6" i="28"/>
  <c r="F93" i="52"/>
  <c r="G78" i="67"/>
  <c r="L84" i="94"/>
  <c r="M102" i="44"/>
  <c r="G90" i="46"/>
  <c r="K13" i="88"/>
  <c r="H69" i="66"/>
  <c r="D99" i="51"/>
  <c r="I69" i="89"/>
  <c r="I67" i="88"/>
  <c r="F105" i="33"/>
  <c r="M87" i="43"/>
  <c r="G84" i="68"/>
  <c r="J99" i="86"/>
  <c r="M69" i="64"/>
  <c r="I96" i="47"/>
  <c r="F93" i="40"/>
  <c r="D78" i="45"/>
  <c r="E63" i="68"/>
  <c r="F90"/>
  <c r="H81" i="63"/>
  <c r="D16" i="28"/>
  <c r="K69" i="82"/>
  <c r="I63" i="52"/>
  <c r="M37" i="31"/>
  <c r="N72" i="61"/>
  <c r="N63" i="46"/>
  <c r="F96" i="57"/>
  <c r="E16" i="88"/>
  <c r="L105" i="72"/>
  <c r="E78" i="35"/>
  <c r="O84" i="26"/>
  <c r="E62" i="37"/>
  <c r="N84" i="46"/>
  <c r="N102" i="90"/>
  <c r="D78" i="75"/>
  <c r="M58" i="28"/>
  <c r="O105" i="51"/>
  <c r="J102" i="45"/>
  <c r="L78" i="25"/>
  <c r="M42" i="37"/>
  <c r="D105" i="50"/>
  <c r="O78" i="29"/>
  <c r="O76" i="28"/>
  <c r="G108" i="64"/>
  <c r="I75" i="55"/>
  <c r="G71" i="31"/>
  <c r="H75" i="45"/>
  <c r="L102" i="41"/>
  <c r="J102" i="82"/>
  <c r="F96" i="63"/>
  <c r="O75" i="73"/>
  <c r="G72" i="61"/>
  <c r="K96" i="55"/>
  <c r="G93" i="78"/>
  <c r="G31" i="28"/>
  <c r="L86" i="88"/>
  <c r="F72" i="69"/>
  <c r="D81" i="48"/>
  <c r="D90" i="87"/>
  <c r="O69" i="39"/>
  <c r="J84" i="93"/>
  <c r="J26" i="37"/>
  <c r="I102" i="63"/>
  <c r="G72" i="27"/>
  <c r="D98" i="31"/>
  <c r="F7" i="28"/>
  <c r="I81" i="32"/>
  <c r="I79" i="31"/>
  <c r="G90" i="38"/>
  <c r="G88" i="37"/>
  <c r="O78" i="46"/>
  <c r="O102" i="65"/>
  <c r="M72" i="87"/>
  <c r="E84" i="41"/>
  <c r="N63" i="33"/>
  <c r="M81" i="47"/>
  <c r="H105" i="43"/>
  <c r="I45" i="88"/>
  <c r="F91" i="37"/>
  <c r="F93" i="38"/>
  <c r="N81" i="73"/>
  <c r="O81" i="53"/>
  <c r="K72" i="33"/>
  <c r="I75" i="85"/>
  <c r="J63" i="73"/>
  <c r="O69" i="87"/>
  <c r="F54" i="37"/>
  <c r="F96" i="79"/>
  <c r="F84" i="83"/>
  <c r="E99" i="44"/>
  <c r="J105" i="79"/>
  <c r="D78" i="85"/>
  <c r="N84" i="87"/>
  <c r="O108" i="78"/>
  <c r="I71" i="88"/>
  <c r="K90" i="43"/>
  <c r="I80" i="88"/>
  <c r="N102" i="73"/>
  <c r="G66" i="49"/>
  <c r="D87" i="82"/>
  <c r="H93" i="75"/>
  <c r="E72" i="45"/>
  <c r="G87" i="52"/>
  <c r="F84" i="35"/>
  <c r="K66" i="81"/>
  <c r="I108" i="76"/>
  <c r="L63" i="60"/>
  <c r="L96" i="75"/>
  <c r="J93" i="66"/>
  <c r="N75" i="35"/>
  <c r="H99" i="64"/>
  <c r="H78" i="53"/>
  <c r="N75" i="77"/>
  <c r="D66" i="84"/>
  <c r="E108" i="44"/>
  <c r="G81" i="32"/>
  <c r="G79" i="31"/>
  <c r="D105" i="45"/>
  <c r="G27" i="88"/>
  <c r="G66" i="46"/>
  <c r="J81" i="76"/>
  <c r="J84" i="41"/>
  <c r="E90" i="57"/>
  <c r="K69" i="27"/>
  <c r="E66" i="68"/>
  <c r="J66" i="62"/>
  <c r="H93" i="39"/>
  <c r="G84" i="64"/>
  <c r="O99" i="25"/>
  <c r="E84" i="78"/>
  <c r="E94" i="88"/>
  <c r="E96" i="89"/>
  <c r="G105" i="86"/>
  <c r="O87" i="51"/>
  <c r="I105" i="91"/>
  <c r="F63" i="48"/>
  <c r="M93" i="66"/>
  <c r="I78" i="59"/>
  <c r="J70" i="28"/>
  <c r="J72" i="29"/>
  <c r="M93" i="93"/>
  <c r="L82" i="37"/>
  <c r="L84" s="1"/>
  <c r="L84" i="38"/>
  <c r="L99" i="70"/>
  <c r="M63" i="47"/>
  <c r="J32" i="88"/>
  <c r="E63" i="30"/>
  <c r="F34" i="28"/>
  <c r="M83" i="37"/>
  <c r="O63" i="55"/>
  <c r="L59" i="31"/>
  <c r="M72" i="35"/>
  <c r="F63" i="71"/>
  <c r="M41" i="88"/>
  <c r="I108" i="47"/>
  <c r="F93" i="45"/>
  <c r="F54" i="28"/>
  <c r="I66" i="52"/>
  <c r="D87" i="63"/>
  <c r="D108" i="58"/>
  <c r="M33" i="28"/>
  <c r="K90" i="69"/>
  <c r="E105" i="72"/>
  <c r="I102" i="33"/>
  <c r="J71" i="28"/>
  <c r="N72" i="71"/>
  <c r="F6" i="31"/>
  <c r="G72" i="83"/>
  <c r="M105" i="69"/>
  <c r="O81" i="81"/>
  <c r="K56" i="37"/>
  <c r="E31" i="88"/>
  <c r="M66" i="78"/>
  <c r="I87" i="62"/>
  <c r="E102" i="65"/>
  <c r="N75" i="78"/>
  <c r="J75" i="92"/>
  <c r="O108" i="68"/>
  <c r="M51" i="28"/>
  <c r="M63" i="65"/>
  <c r="D84" i="64"/>
  <c r="F66" i="63"/>
  <c r="J16" i="37"/>
  <c r="H66" i="94"/>
  <c r="J66" i="78"/>
  <c r="K63" i="80"/>
  <c r="N84" i="47"/>
  <c r="I69" i="77"/>
  <c r="O90" i="43"/>
  <c r="H96" i="58"/>
  <c r="N72" i="59"/>
  <c r="N87" i="84"/>
  <c r="G81" i="80"/>
  <c r="E75" i="91"/>
  <c r="K84" i="35"/>
  <c r="M108" i="33"/>
  <c r="F75" i="54"/>
  <c r="K96" i="75"/>
  <c r="O7" i="88"/>
  <c r="K63" i="71"/>
  <c r="O63" i="25"/>
  <c r="D82" i="28"/>
  <c r="D84" s="1"/>
  <c r="D84" i="29"/>
  <c r="O106" i="37"/>
  <c r="O108" i="38"/>
  <c r="E107" i="37"/>
  <c r="N90" i="77"/>
  <c r="E66" i="73"/>
  <c r="J75"/>
  <c r="K69" i="39"/>
  <c r="G42" i="28"/>
  <c r="G15" i="37"/>
  <c r="L47"/>
  <c r="E58"/>
  <c r="K64" i="88"/>
  <c r="K66" i="89"/>
  <c r="H78" i="82"/>
  <c r="D69" i="33"/>
  <c r="F72" i="67"/>
  <c r="E108" i="87"/>
  <c r="G8" i="28"/>
  <c r="J102" i="67"/>
  <c r="K105" i="82"/>
  <c r="L84" i="25"/>
  <c r="O105" i="77"/>
  <c r="E93" i="19"/>
  <c r="I78" i="90"/>
  <c r="F72" i="46"/>
  <c r="D96" i="49"/>
  <c r="E99" i="33"/>
  <c r="O75" i="68"/>
  <c r="F14" i="28"/>
  <c r="E28" i="88"/>
  <c r="E93" i="51"/>
  <c r="H87" i="86"/>
  <c r="H71" i="28"/>
  <c r="E63" i="51"/>
  <c r="J34" i="28"/>
  <c r="F12"/>
  <c r="O88"/>
  <c r="O90" i="29"/>
  <c r="F105" i="56"/>
  <c r="J105" i="51"/>
  <c r="D93" i="63"/>
  <c r="G53" i="37"/>
  <c r="I78" i="48"/>
  <c r="E66" i="85"/>
  <c r="L96" i="74"/>
  <c r="E90" i="87"/>
  <c r="D84" i="55"/>
  <c r="CZ30" i="3"/>
  <c r="CK97"/>
  <c r="D105" i="49"/>
  <c r="K8" i="88"/>
  <c r="G81" i="94"/>
  <c r="E17" i="28"/>
  <c r="M63" i="41"/>
  <c r="M105" i="44"/>
  <c r="K99" i="66"/>
  <c r="I11" i="88"/>
  <c r="L62" i="31"/>
  <c r="E96" i="41"/>
  <c r="L87" i="84"/>
  <c r="I75" i="26"/>
  <c r="J54" i="37"/>
  <c r="N72" i="56"/>
  <c r="G53" i="28"/>
  <c r="M69" i="83"/>
  <c r="I81" i="35"/>
  <c r="H105" i="70"/>
  <c r="I78" i="58"/>
  <c r="N66" i="89"/>
  <c r="N64" i="88"/>
  <c r="G107" i="31"/>
  <c r="E69" i="27"/>
  <c r="M93" i="51"/>
  <c r="L78" i="68"/>
  <c r="E78" i="50"/>
  <c r="N66" i="34"/>
  <c r="J81" i="30"/>
  <c r="M78" i="41"/>
  <c r="I72" i="62"/>
  <c r="M66" i="45"/>
  <c r="E84" i="75"/>
  <c r="D75" i="53"/>
  <c r="E23" i="88"/>
  <c r="M99" i="47"/>
  <c r="D90"/>
  <c r="J102" i="40"/>
  <c r="K22" i="37"/>
  <c r="L105" i="39"/>
  <c r="F66" i="44"/>
  <c r="E96" i="57"/>
  <c r="N66" i="75"/>
  <c r="M87" i="47"/>
  <c r="G105" i="65"/>
  <c r="J32" i="37"/>
  <c r="M96" i="53"/>
  <c r="F105"/>
  <c r="D93" i="65"/>
  <c r="L87" i="59"/>
  <c r="E72" i="54"/>
  <c r="J47" i="88"/>
  <c r="L51"/>
  <c r="E37" i="31"/>
  <c r="L39" i="37"/>
  <c r="H78" i="94"/>
  <c r="M78" i="67"/>
  <c r="L78" i="41"/>
  <c r="H89" i="28"/>
  <c r="F57" i="88"/>
  <c r="J93" i="44"/>
  <c r="G66" i="70"/>
  <c r="I54" i="28"/>
  <c r="O83"/>
  <c r="J72" i="39"/>
  <c r="L75" i="30"/>
  <c r="N102" i="64"/>
  <c r="O52" i="88"/>
  <c r="J102" i="76"/>
  <c r="D96" i="53"/>
  <c r="F106" i="88"/>
  <c r="F108" i="89"/>
  <c r="K84" i="66"/>
  <c r="E63" i="73"/>
  <c r="G43" i="28"/>
  <c r="M81" i="35"/>
  <c r="O102" i="33"/>
  <c r="F84" i="64"/>
  <c r="I108" i="66"/>
  <c r="G4" i="37"/>
  <c r="L93" i="92"/>
  <c r="H66" i="53"/>
  <c r="K105" i="19"/>
  <c r="L69" i="94"/>
  <c r="M37" i="28"/>
  <c r="J41" i="31"/>
  <c r="M96" i="90"/>
  <c r="J66" i="59"/>
  <c r="I66" i="50"/>
  <c r="K78" i="56"/>
  <c r="F69" i="36"/>
  <c r="J84" i="86"/>
  <c r="K84" i="62"/>
  <c r="D81" i="83"/>
  <c r="N87" i="89"/>
  <c r="N85" i="88"/>
  <c r="N70" i="28"/>
  <c r="N72" i="29"/>
  <c r="F63" i="86"/>
  <c r="J93" i="32"/>
  <c r="J91" i="31"/>
  <c r="O63" i="47"/>
  <c r="D87" i="25"/>
  <c r="I93" i="35"/>
  <c r="E93" i="34"/>
  <c r="I108" i="59"/>
  <c r="K78" i="45"/>
  <c r="M84" i="48"/>
  <c r="N84" i="60"/>
  <c r="E81" i="44"/>
  <c r="O102" i="73"/>
  <c r="E78" i="33"/>
  <c r="I108" i="41"/>
  <c r="D96" i="30"/>
  <c r="I104" i="88"/>
  <c r="E84" i="61"/>
  <c r="F87" i="76"/>
  <c r="K108"/>
  <c r="O96" i="45"/>
  <c r="E63" i="47"/>
  <c r="I66" i="54"/>
  <c r="L63" i="48"/>
  <c r="H35" i="31"/>
  <c r="E105" i="83"/>
  <c r="J78" i="82"/>
  <c r="J72" i="33"/>
  <c r="G81" i="38"/>
  <c r="G79" i="37"/>
  <c r="J63" i="69"/>
  <c r="D87" i="77"/>
  <c r="L63" i="62"/>
  <c r="N99" i="91"/>
  <c r="F72" i="80"/>
  <c r="M96" i="19"/>
  <c r="E102" i="81"/>
  <c r="L75" i="38"/>
  <c r="L73" i="37"/>
  <c r="L75" s="1"/>
  <c r="M81" i="41"/>
  <c r="J102" i="59"/>
  <c r="I78" i="40"/>
  <c r="I69" i="47"/>
  <c r="N81" i="44"/>
  <c r="I87" i="70"/>
  <c r="F87" i="34"/>
  <c r="L84" i="27"/>
  <c r="O105" i="70"/>
  <c r="O78" i="57"/>
  <c r="G99" i="49"/>
  <c r="D8" i="88"/>
  <c r="J102" i="46"/>
  <c r="O81" i="59"/>
  <c r="N44" i="37"/>
  <c r="H52" i="31"/>
  <c r="D99" i="47"/>
  <c r="F108" i="38"/>
  <c r="F106" i="37"/>
  <c r="H11" i="88"/>
  <c r="N105" i="56"/>
  <c r="D5" i="88"/>
  <c r="E41" i="37"/>
  <c r="F62" i="31"/>
  <c r="D87" i="67"/>
  <c r="M33" i="88"/>
  <c r="J102" i="47"/>
  <c r="M84" i="64"/>
  <c r="E41" i="28"/>
  <c r="O90" i="48"/>
  <c r="I96" i="59"/>
  <c r="I99" i="71"/>
  <c r="I105" i="67"/>
  <c r="L108" i="33"/>
  <c r="J50" i="88"/>
  <c r="I96" i="89"/>
  <c r="I94" i="88"/>
  <c r="H69" i="53"/>
  <c r="I96" i="85"/>
  <c r="M28" i="37"/>
  <c r="N99" i="81"/>
  <c r="L96" i="27"/>
  <c r="H108" i="48"/>
  <c r="O108" i="82"/>
  <c r="N99" i="41"/>
  <c r="E32" i="31"/>
  <c r="H69" i="30"/>
  <c r="K107" i="88"/>
  <c r="D78" i="46"/>
  <c r="M108" i="26"/>
  <c r="N87" i="54"/>
  <c r="G72" i="29"/>
  <c r="G70" i="28"/>
  <c r="F66" i="83"/>
  <c r="F96" i="27"/>
  <c r="G98" i="88"/>
  <c r="J66" i="47"/>
  <c r="L69" i="49"/>
  <c r="H102" i="19"/>
  <c r="G105" i="27"/>
  <c r="J69" i="83"/>
  <c r="H57" i="28"/>
  <c r="K105" i="58"/>
  <c r="O99" i="71"/>
  <c r="F75" i="56"/>
  <c r="G47" i="37"/>
  <c r="K72" i="35"/>
  <c r="K102" i="53"/>
  <c r="H4" i="31"/>
  <c r="G81" i="25"/>
  <c r="K54" i="37"/>
  <c r="M96" i="48"/>
  <c r="K108" i="53"/>
  <c r="E90" i="41"/>
  <c r="D35" i="88"/>
  <c r="K66" i="66"/>
  <c r="L93" i="51"/>
  <c r="H87" i="63"/>
  <c r="I90" i="36"/>
  <c r="I72" i="74"/>
  <c r="J69" i="80"/>
  <c r="H77" i="28"/>
  <c r="M96" i="34"/>
  <c r="O52" i="31"/>
  <c r="L38" i="28"/>
  <c r="K14"/>
  <c r="K66" i="34"/>
  <c r="H72" i="43"/>
  <c r="M57" i="31"/>
  <c r="G78" i="58"/>
  <c r="D84" i="62"/>
  <c r="I108" i="92"/>
  <c r="D81" i="60"/>
  <c r="G84" i="91"/>
  <c r="L93" i="87"/>
  <c r="M104" i="37"/>
  <c r="G105" i="93"/>
  <c r="G108" i="83"/>
  <c r="K63" i="55"/>
  <c r="N14" i="37"/>
  <c r="E50"/>
  <c r="K96" i="33"/>
  <c r="M90" i="80"/>
  <c r="E102" i="48"/>
  <c r="M99" i="80"/>
  <c r="O41" i="28"/>
  <c r="I93" i="51"/>
  <c r="F41" i="28"/>
  <c r="L99" i="71"/>
  <c r="D69" i="19"/>
  <c r="E75" i="61"/>
  <c r="J93" i="91"/>
  <c r="E66" i="81"/>
  <c r="L69" i="70"/>
  <c r="J69" i="54"/>
  <c r="G87" i="61"/>
  <c r="H99" i="36"/>
  <c r="O69" i="34"/>
  <c r="I90" i="53"/>
  <c r="H69" i="42"/>
  <c r="D55" i="31"/>
  <c r="J87" i="47"/>
  <c r="I87" i="27"/>
  <c r="N63" i="38"/>
  <c r="N61" i="37"/>
  <c r="N66" i="76"/>
  <c r="O75" i="80"/>
  <c r="E72" i="52"/>
  <c r="K35" i="88"/>
  <c r="L84" i="71"/>
  <c r="D83" i="88"/>
  <c r="G107" i="28"/>
  <c r="J72" i="50"/>
  <c r="I55" i="37"/>
  <c r="K102" i="70"/>
  <c r="L63" i="54"/>
  <c r="M84" i="87"/>
  <c r="D96" i="78"/>
  <c r="J87" i="26"/>
  <c r="H87" i="65"/>
  <c r="F63" i="39"/>
  <c r="F93" i="54"/>
  <c r="H87" i="39"/>
  <c r="L66" i="25"/>
  <c r="E102" i="29"/>
  <c r="E100" i="28"/>
  <c r="K81" i="65"/>
  <c r="I99" i="87"/>
  <c r="G71" i="88"/>
  <c r="O108" i="43"/>
  <c r="G81" i="44"/>
  <c r="H69" i="41"/>
  <c r="N105" i="46"/>
  <c r="K102" i="43"/>
  <c r="L81" i="76"/>
  <c r="L108" i="55"/>
  <c r="D50" i="88"/>
  <c r="H28"/>
  <c r="M87" i="69"/>
  <c r="O63" i="27"/>
  <c r="H87" i="25"/>
  <c r="E69" i="68"/>
  <c r="H96" i="44"/>
  <c r="O81" i="82"/>
  <c r="M102" i="77"/>
  <c r="N84" i="39"/>
  <c r="L99" i="30"/>
  <c r="E72" i="53"/>
  <c r="G105" i="84"/>
  <c r="F90" i="78"/>
  <c r="D90" i="94"/>
  <c r="I87" i="85"/>
  <c r="L108" i="34"/>
  <c r="N96" i="69"/>
  <c r="I75" i="36"/>
  <c r="I50" i="28"/>
  <c r="I80" i="37"/>
  <c r="M105" i="76"/>
  <c r="F102" i="44"/>
  <c r="O96" i="62"/>
  <c r="I81" i="92"/>
  <c r="K99" i="62"/>
  <c r="E99" i="78"/>
  <c r="K108" i="90"/>
  <c r="H87" i="38"/>
  <c r="H85" i="37"/>
  <c r="H96" i="84"/>
  <c r="G91" i="37"/>
  <c r="G93" s="1"/>
  <c r="G93" i="38"/>
  <c r="I93" i="25"/>
  <c r="D11" i="88"/>
  <c r="H105" i="79"/>
  <c r="K35" i="31"/>
  <c r="M84" i="26"/>
  <c r="G87" i="47"/>
  <c r="L105"/>
  <c r="F102" i="65"/>
  <c r="F6" i="37"/>
  <c r="N75" i="33"/>
  <c r="K69" i="72"/>
  <c r="D53" i="88"/>
  <c r="I81" i="41"/>
  <c r="H93" i="55"/>
  <c r="O87" i="92"/>
  <c r="H87" i="79"/>
  <c r="O96" i="19"/>
  <c r="F66" i="79"/>
  <c r="I87" i="41"/>
  <c r="E96" i="92"/>
  <c r="K63" i="51"/>
  <c r="G63" i="62"/>
  <c r="F108" i="75"/>
  <c r="L99" i="84"/>
  <c r="L18" i="37"/>
  <c r="M87" i="73"/>
  <c r="H90" i="69"/>
  <c r="I84" i="53"/>
  <c r="M78" i="30"/>
  <c r="I108" i="54"/>
  <c r="J108" i="66"/>
  <c r="I66" i="19"/>
  <c r="E75" i="43"/>
  <c r="G75" i="92"/>
  <c r="L78" i="55"/>
  <c r="E85" i="28"/>
  <c r="E87" i="29"/>
  <c r="G99" i="42"/>
  <c r="O108" i="47"/>
  <c r="J81" i="72"/>
  <c r="H92" i="28"/>
  <c r="G62" i="88"/>
  <c r="G63" i="79"/>
  <c r="O87" i="75"/>
  <c r="L93" i="91"/>
  <c r="J105" i="90"/>
  <c r="O77" i="28"/>
  <c r="K7" i="31"/>
  <c r="E63" i="33"/>
  <c r="M90" i="57"/>
  <c r="F72" i="55"/>
  <c r="G96" i="52"/>
  <c r="O81" i="47"/>
  <c r="N62" i="37"/>
  <c r="N63" i="30"/>
  <c r="E102" i="68"/>
  <c r="J90" i="80"/>
  <c r="E102"/>
  <c r="H102" i="74"/>
  <c r="N78" i="90"/>
  <c r="F32" i="28"/>
  <c r="F32" i="24" s="1"/>
  <c r="D29" i="88"/>
  <c r="I75" i="83"/>
  <c r="K66" i="56"/>
  <c r="F96" i="80"/>
  <c r="D72" i="56"/>
  <c r="H97" i="28"/>
  <c r="H99" i="29"/>
  <c r="F18" i="31"/>
  <c r="H78" i="54"/>
  <c r="M89" i="88"/>
  <c r="M90" s="1"/>
  <c r="E99" i="50"/>
  <c r="G87" i="64"/>
  <c r="F86" i="31"/>
  <c r="M61"/>
  <c r="M63" s="1"/>
  <c r="M63" i="32"/>
  <c r="E87" i="60"/>
  <c r="K84" i="73"/>
  <c r="G90" i="47"/>
  <c r="J81" i="60"/>
  <c r="L102" i="83"/>
  <c r="O87" i="66"/>
  <c r="K99" i="33"/>
  <c r="N75" i="44"/>
  <c r="M78" i="87"/>
  <c r="G81" i="62"/>
  <c r="M78"/>
  <c r="H12" i="88"/>
  <c r="K98" i="31"/>
  <c r="E59" i="88"/>
  <c r="L90" i="91"/>
  <c r="D72" i="83"/>
  <c r="O78" i="25"/>
  <c r="G84" i="47"/>
  <c r="I96" i="57"/>
  <c r="K108" i="43"/>
  <c r="F78" i="34"/>
  <c r="D24" i="31"/>
  <c r="K63" i="69"/>
  <c r="K99" i="41"/>
  <c r="G81" i="52"/>
  <c r="H108" i="77"/>
  <c r="L56" i="28"/>
  <c r="F105" i="54"/>
  <c r="E78" i="60"/>
  <c r="F87" i="64"/>
  <c r="K63" i="30"/>
  <c r="K90" i="58"/>
  <c r="I66" i="38"/>
  <c r="I64" i="37"/>
  <c r="D63" i="53"/>
  <c r="O72" i="60"/>
  <c r="K30" i="31"/>
  <c r="M72" i="27"/>
  <c r="J81" i="45"/>
  <c r="K99" i="78"/>
  <c r="K72" i="46"/>
  <c r="L70" i="31"/>
  <c r="L72" i="32"/>
  <c r="M84" i="69"/>
  <c r="J62" i="31"/>
  <c r="I99" i="40"/>
  <c r="F108" i="47"/>
  <c r="K108" i="49"/>
  <c r="I72" i="77"/>
  <c r="K102" i="75"/>
  <c r="L99" i="78"/>
  <c r="J108" i="43"/>
  <c r="J87" i="33"/>
  <c r="F102" i="45"/>
  <c r="D69" i="43"/>
  <c r="H99" i="40"/>
  <c r="H78" i="19"/>
  <c r="G21" i="37"/>
  <c r="D69" i="82"/>
  <c r="F108" i="76"/>
  <c r="J72" i="64"/>
  <c r="F48" i="31"/>
  <c r="G108" i="45"/>
  <c r="O96" i="63"/>
  <c r="K66" i="35"/>
  <c r="D108" i="55"/>
  <c r="F72" i="36"/>
  <c r="O105" i="56"/>
  <c r="K75" i="90"/>
  <c r="K108" i="60"/>
  <c r="N72" i="41"/>
  <c r="O78" i="35"/>
  <c r="N87" i="27"/>
  <c r="J81" i="90"/>
  <c r="G108" i="68"/>
  <c r="L99" i="48"/>
  <c r="I66" i="34"/>
  <c r="I81" i="80"/>
  <c r="D99" i="65"/>
  <c r="M75" i="60"/>
  <c r="J54" i="28"/>
  <c r="G102" i="35"/>
  <c r="F81" i="79"/>
  <c r="O108" i="74"/>
  <c r="BH66" i="3"/>
  <c r="H99" i="25"/>
  <c r="O102" i="84"/>
  <c r="G9" i="37"/>
  <c r="L78" i="92"/>
  <c r="D105" i="77"/>
  <c r="D105" i="70"/>
  <c r="M105" i="45"/>
  <c r="L69" i="56"/>
  <c r="N75"/>
  <c r="K105" i="76"/>
  <c r="I93" i="70"/>
  <c r="O7" i="31"/>
  <c r="F108" i="63"/>
  <c r="J16" i="28"/>
  <c r="E99" i="80"/>
  <c r="H96" i="61"/>
  <c r="L108" i="66"/>
  <c r="F99" i="39"/>
  <c r="O82" i="88"/>
  <c r="O84" i="89"/>
  <c r="D75"/>
  <c r="D73" i="88"/>
  <c r="J51" i="31"/>
  <c r="J66" i="70"/>
  <c r="M16" i="31"/>
  <c r="O87" i="76"/>
  <c r="K104" i="28"/>
  <c r="I105" i="63"/>
  <c r="L75" i="64"/>
  <c r="G96" i="36"/>
  <c r="L81" i="62"/>
  <c r="K96" i="47"/>
  <c r="F75"/>
  <c r="H69" i="80"/>
  <c r="L37" i="31"/>
  <c r="K87" i="75"/>
  <c r="J66" i="77"/>
  <c r="D90" i="40"/>
  <c r="O99" i="80"/>
  <c r="M75" i="33"/>
  <c r="K102" i="93"/>
  <c r="N17" i="28"/>
  <c r="H46" i="31"/>
  <c r="N30" i="88"/>
  <c r="E63" i="79"/>
  <c r="H66" i="84"/>
  <c r="D78" i="50"/>
  <c r="D25" i="88"/>
  <c r="O105" i="93"/>
  <c r="D99" i="94"/>
  <c r="M96" i="84"/>
  <c r="J87" i="89"/>
  <c r="J85" i="88"/>
  <c r="O87" i="67"/>
  <c r="H15" i="28"/>
  <c r="N78" i="49"/>
  <c r="E45" i="28"/>
  <c r="G81" i="61"/>
  <c r="H84" i="49"/>
  <c r="O87" i="48"/>
  <c r="E108" i="30"/>
  <c r="N93" i="34"/>
  <c r="O59" i="31"/>
  <c r="O75" i="61"/>
  <c r="G69" i="92"/>
  <c r="L75" i="65"/>
  <c r="L23" i="28"/>
  <c r="M90" i="83"/>
  <c r="I90" i="86"/>
  <c r="G40" i="31"/>
  <c r="G90" i="71"/>
  <c r="L69" i="72"/>
  <c r="O38" i="28"/>
  <c r="J90" i="75"/>
  <c r="D84" i="61"/>
  <c r="E75" i="27"/>
  <c r="K75" i="62"/>
  <c r="E34" i="88"/>
  <c r="E69" i="59"/>
  <c r="E51" i="28"/>
  <c r="O72" i="49"/>
  <c r="J105" i="71"/>
  <c r="J96" i="45"/>
  <c r="L93" i="41"/>
  <c r="N93" i="91"/>
  <c r="G75" i="86"/>
  <c r="J108" i="78"/>
  <c r="M38" i="88"/>
  <c r="M30" i="31"/>
  <c r="N50" i="37"/>
  <c r="L96" i="49"/>
  <c r="N108" i="76"/>
  <c r="E108" i="48"/>
  <c r="M66" i="91"/>
  <c r="L73" i="88"/>
  <c r="L75" i="89"/>
  <c r="D99" i="44"/>
  <c r="N87" i="69"/>
  <c r="N101" i="88"/>
  <c r="J105" i="58"/>
  <c r="F108" i="26"/>
  <c r="N78" i="87"/>
  <c r="O84" i="70"/>
  <c r="N72" i="43"/>
  <c r="J90" i="26"/>
  <c r="L108" i="71"/>
  <c r="H79" i="88"/>
  <c r="H81" i="89"/>
  <c r="D78" i="44"/>
  <c r="J102" i="75"/>
  <c r="M34" i="28"/>
  <c r="O105" i="27"/>
  <c r="H101" i="28"/>
  <c r="F18"/>
  <c r="I84" i="29"/>
  <c r="I82" i="28"/>
  <c r="H65" i="37"/>
  <c r="G78" i="53"/>
  <c r="M75" i="65"/>
  <c r="N105" i="69"/>
  <c r="E93" i="86"/>
  <c r="D90" i="89"/>
  <c r="D88" i="88"/>
  <c r="I102" i="59"/>
  <c r="M13" i="31"/>
  <c r="O93" i="38"/>
  <c r="O91" i="37"/>
  <c r="L108" i="77"/>
  <c r="I43" i="88"/>
  <c r="F69" i="52"/>
  <c r="L63" i="43"/>
  <c r="J105" i="38"/>
  <c r="J103" i="37"/>
  <c r="D105" i="53"/>
  <c r="J84" i="56"/>
  <c r="M81" i="58"/>
  <c r="G75" i="81"/>
  <c r="E99" i="47"/>
  <c r="J96" i="77"/>
  <c r="O90" i="26"/>
  <c r="H84" i="71"/>
  <c r="M63" i="26"/>
  <c r="K90" i="66"/>
  <c r="M72" i="51"/>
  <c r="I81" i="90"/>
  <c r="F78" i="63"/>
  <c r="L71" i="37"/>
  <c r="L74" i="31"/>
  <c r="D102" i="27"/>
  <c r="H45" i="28"/>
  <c r="F90" i="81"/>
  <c r="K78" i="63"/>
  <c r="N105" i="35"/>
  <c r="I29" i="28"/>
  <c r="I29" i="24" s="1"/>
  <c r="G15" i="31"/>
  <c r="J102" i="34"/>
  <c r="M84" i="81"/>
  <c r="I87" i="26"/>
  <c r="F108" i="27"/>
  <c r="H63" i="85"/>
  <c r="F69" i="80"/>
  <c r="H87" i="66"/>
  <c r="K99" i="29"/>
  <c r="K97" i="28"/>
  <c r="E78" i="41"/>
  <c r="L75" i="44"/>
  <c r="N87" i="43"/>
  <c r="J66" i="75"/>
  <c r="H108" i="47"/>
  <c r="F36" i="37"/>
  <c r="D63" i="65"/>
  <c r="K90" i="51"/>
  <c r="K66" i="82"/>
  <c r="J102" i="68"/>
  <c r="L20" i="37"/>
  <c r="I72" i="91"/>
  <c r="L69" i="66"/>
  <c r="N32" i="31"/>
  <c r="D108" i="53"/>
  <c r="H75" i="73"/>
  <c r="E75" i="85"/>
  <c r="D88" i="37"/>
  <c r="D90" s="1"/>
  <c r="D90" i="38"/>
  <c r="G90" i="40"/>
  <c r="N108" i="75"/>
  <c r="N93" i="76"/>
  <c r="O69" i="64"/>
  <c r="K79" i="28"/>
  <c r="K81" i="29"/>
  <c r="G63" i="63"/>
  <c r="K105" i="51"/>
  <c r="M107" i="88"/>
  <c r="K87" i="53"/>
  <c r="F63" i="27"/>
  <c r="F105" i="35"/>
  <c r="E44" i="88"/>
  <c r="H96" i="52"/>
  <c r="G105" i="48"/>
  <c r="O63" i="41"/>
  <c r="K69" i="29"/>
  <c r="K67" i="28"/>
  <c r="I72" i="19"/>
  <c r="F13" i="31"/>
  <c r="K33"/>
  <c r="J108" i="65"/>
  <c r="M87" i="81"/>
  <c r="I96" i="76"/>
  <c r="N102" i="35"/>
  <c r="J69" i="94"/>
  <c r="H96" i="54"/>
  <c r="D99" i="92"/>
  <c r="I108" i="55"/>
  <c r="G66" i="65"/>
  <c r="J57" i="31"/>
  <c r="I70" i="37"/>
  <c r="I72" i="38"/>
  <c r="E61" i="88"/>
  <c r="E63" i="89"/>
  <c r="N105" i="33"/>
  <c r="H45" i="37"/>
  <c r="E81" i="57"/>
  <c r="E63" i="62"/>
  <c r="M36" i="28"/>
  <c r="J75" i="56"/>
  <c r="N102"/>
  <c r="L108" i="29"/>
  <c r="L106" i="28"/>
  <c r="I99" i="80"/>
  <c r="I102" i="35"/>
  <c r="M78" i="73"/>
  <c r="M75" i="47"/>
  <c r="N72" i="84"/>
  <c r="K108" i="35"/>
  <c r="O35" i="31"/>
  <c r="M108" i="69"/>
  <c r="L90" i="70"/>
  <c r="O102" i="30"/>
  <c r="G75" i="39"/>
  <c r="M99" i="71"/>
  <c r="I35" i="37"/>
  <c r="K48"/>
  <c r="K93" i="55"/>
  <c r="D55" i="88"/>
  <c r="G99" i="40"/>
  <c r="M66" i="47"/>
  <c r="F89" i="31"/>
  <c r="J43" i="37"/>
  <c r="K96" i="44"/>
  <c r="O51" i="88"/>
  <c r="M108" i="90"/>
  <c r="N12" i="31"/>
  <c r="F86" i="28"/>
  <c r="F72" i="78"/>
  <c r="E90" i="62"/>
  <c r="G48" i="28"/>
  <c r="G75" i="69"/>
  <c r="O96" i="43"/>
  <c r="M105" i="87"/>
  <c r="N37" i="28"/>
  <c r="H99" i="77"/>
  <c r="I108" i="64"/>
  <c r="N69" i="83"/>
  <c r="N69" i="64"/>
  <c r="N78" i="36"/>
  <c r="J66" i="79"/>
  <c r="K22" i="88"/>
  <c r="J63" i="71"/>
  <c r="D13" i="88"/>
  <c r="F63" i="45"/>
  <c r="I87"/>
  <c r="H90" i="81"/>
  <c r="J69" i="49"/>
  <c r="L69" i="45"/>
  <c r="G63" i="40"/>
  <c r="E69" i="60"/>
  <c r="M20" i="31"/>
  <c r="G63" i="68"/>
  <c r="H72" i="34"/>
  <c r="N46" i="31"/>
  <c r="I99" i="27"/>
  <c r="N78" i="56"/>
  <c r="J75" i="55"/>
  <c r="E78" i="79"/>
  <c r="O69" i="48"/>
  <c r="N96" i="25"/>
  <c r="L37" i="28"/>
  <c r="G81" i="47"/>
  <c r="K99" i="93"/>
  <c r="D96" i="40"/>
  <c r="I93" i="59"/>
  <c r="K33" i="37"/>
  <c r="E45" i="88"/>
  <c r="O28" i="28"/>
  <c r="L78" i="40"/>
  <c r="H72" i="55"/>
  <c r="N93" i="64"/>
  <c r="L7" i="31"/>
  <c r="E81" i="58"/>
  <c r="I21" i="31"/>
  <c r="H66" i="30"/>
  <c r="N90" i="75"/>
  <c r="E73" i="31"/>
  <c r="E75" i="32"/>
  <c r="D69" i="66"/>
  <c r="N93" i="56"/>
  <c r="J87" i="27"/>
  <c r="N48" i="88"/>
  <c r="O18"/>
  <c r="F75" i="66"/>
  <c r="H53" i="88"/>
  <c r="M63" i="94"/>
  <c r="D99" i="82"/>
  <c r="G93" i="72"/>
  <c r="E79" i="31"/>
  <c r="E81" i="32"/>
  <c r="D84" i="77"/>
  <c r="I90" i="48"/>
  <c r="F93" i="93"/>
  <c r="L66" i="73"/>
  <c r="E84" i="72"/>
  <c r="F75" i="70"/>
  <c r="D93" i="90"/>
  <c r="M107" i="31"/>
  <c r="H33" i="37"/>
  <c r="N72" i="67"/>
  <c r="G99" i="19"/>
  <c r="D47" i="31"/>
  <c r="J108" i="25"/>
  <c r="H98" i="88"/>
  <c r="K93" i="73"/>
  <c r="M78" i="46"/>
  <c r="J99" i="33"/>
  <c r="E7" i="28"/>
  <c r="J108" i="82"/>
  <c r="G87" i="25"/>
  <c r="M69" i="61"/>
  <c r="H102" i="39"/>
  <c r="G56" i="28"/>
  <c r="F90" i="55"/>
  <c r="I90" i="70"/>
  <c r="G72" i="91"/>
  <c r="N93" i="89"/>
  <c r="N91" i="88"/>
  <c r="I75" i="27"/>
  <c r="L64" i="37"/>
  <c r="L66" i="38"/>
  <c r="N21" i="31"/>
  <c r="J35" i="37"/>
  <c r="K37" i="88"/>
  <c r="M96" i="33"/>
  <c r="O75" i="65"/>
  <c r="G93" i="44"/>
  <c r="M45" i="37"/>
  <c r="G66" i="71"/>
  <c r="L99" i="33"/>
  <c r="H44" i="37"/>
  <c r="E102" i="63"/>
  <c r="G99" i="62"/>
  <c r="L10" i="37"/>
  <c r="O69" i="35"/>
  <c r="M69" i="77"/>
  <c r="L96" i="45"/>
  <c r="G104" i="88"/>
  <c r="E31" i="37"/>
  <c r="E87" i="83"/>
  <c r="E94" i="31"/>
  <c r="E96" i="32"/>
  <c r="D43" i="28"/>
  <c r="G99" i="27"/>
  <c r="N63"/>
  <c r="E69" i="51"/>
  <c r="L75" i="58"/>
  <c r="L68" i="88"/>
  <c r="G102" i="65"/>
  <c r="N90" i="70"/>
  <c r="H43" i="31"/>
  <c r="L38" i="88"/>
  <c r="M72" i="86"/>
  <c r="I78" i="71"/>
  <c r="F108" i="25"/>
  <c r="M72" i="91"/>
  <c r="M78" i="25"/>
  <c r="G66" i="66"/>
  <c r="G37" i="88"/>
  <c r="O96" i="59"/>
  <c r="H105" i="35"/>
  <c r="F108" i="19"/>
  <c r="I63" i="78"/>
  <c r="D68" i="28"/>
  <c r="F63" i="90"/>
  <c r="J108" i="62"/>
  <c r="G11" i="88"/>
  <c r="I26" i="31"/>
  <c r="F84" i="74"/>
  <c r="D66" i="50"/>
  <c r="J5" i="88"/>
  <c r="E108" i="81"/>
  <c r="O105" i="75"/>
  <c r="I87" i="60"/>
  <c r="H72" i="33"/>
  <c r="N87" i="75"/>
  <c r="E75" i="55"/>
  <c r="O99" i="44"/>
  <c r="K69" i="41"/>
  <c r="D81" i="49"/>
  <c r="H69" i="36"/>
  <c r="L80" i="31"/>
  <c r="E69" i="94"/>
  <c r="D63" i="82"/>
  <c r="G62" i="31"/>
  <c r="L77" i="28"/>
  <c r="O65" i="37"/>
  <c r="I93" i="86"/>
  <c r="K108" i="34"/>
  <c r="O72" i="47"/>
  <c r="E102" i="56"/>
  <c r="J96" i="19"/>
  <c r="L79" i="28"/>
  <c r="L81" i="29"/>
  <c r="K12" i="88"/>
  <c r="F102" i="70"/>
  <c r="G72" i="26"/>
  <c r="F66" i="78"/>
  <c r="E72" i="25"/>
  <c r="N66" i="66"/>
  <c r="E78" i="84"/>
  <c r="L102" i="53"/>
  <c r="G75" i="82"/>
  <c r="I31" i="37"/>
  <c r="H90" i="79"/>
  <c r="K63" i="38"/>
  <c r="K61" i="37"/>
  <c r="E87" i="35"/>
  <c r="E13" i="37"/>
  <c r="I105" i="34"/>
  <c r="M93" i="83"/>
  <c r="L108" i="56"/>
  <c r="D84" i="44"/>
  <c r="K81" i="64"/>
  <c r="G87" i="42"/>
  <c r="O26" i="28"/>
  <c r="L84" i="64"/>
  <c r="J90" i="77"/>
  <c r="H108" i="84"/>
  <c r="F93" i="83"/>
  <c r="K90" i="82"/>
  <c r="J55" i="28"/>
  <c r="K105" i="78"/>
  <c r="E96" i="73"/>
  <c r="I102" i="91"/>
  <c r="J63" i="74"/>
  <c r="M69" i="69"/>
  <c r="H63" i="25"/>
  <c r="F69" i="54"/>
  <c r="E90" i="49"/>
  <c r="K99" i="51"/>
  <c r="L78" i="36"/>
  <c r="J63" i="92"/>
  <c r="H66" i="47"/>
  <c r="I99" i="55"/>
  <c r="K72" i="86"/>
  <c r="D63" i="83"/>
  <c r="M19" i="37"/>
  <c r="O108" i="25"/>
  <c r="M108" i="72"/>
  <c r="J90" i="64"/>
  <c r="F102" i="25"/>
  <c r="F87" i="58"/>
  <c r="M103" i="31"/>
  <c r="M105" i="32"/>
  <c r="I73" i="31"/>
  <c r="I75" i="32"/>
  <c r="N68" i="31"/>
  <c r="E105" i="93"/>
  <c r="I90" i="47"/>
  <c r="J78" i="50"/>
  <c r="O90" i="83"/>
  <c r="E78" i="86"/>
  <c r="L108" i="82"/>
  <c r="F75" i="90"/>
  <c r="F84" i="59"/>
  <c r="L102" i="54"/>
  <c r="K75" i="58"/>
  <c r="M105" i="70"/>
  <c r="L90" i="74"/>
  <c r="O63" i="90"/>
  <c r="D87" i="54"/>
  <c r="L78" i="93"/>
  <c r="I81" i="91"/>
  <c r="I96" i="82"/>
  <c r="I28" i="88"/>
  <c r="L105" i="19"/>
  <c r="E87" i="56"/>
  <c r="F66" i="80"/>
  <c r="J21" i="28"/>
  <c r="O69" i="75"/>
  <c r="I90" i="83"/>
  <c r="J81" i="91"/>
  <c r="N72" i="39"/>
  <c r="F102" i="49"/>
  <c r="J46" i="88"/>
  <c r="D55" i="37"/>
  <c r="N66" i="92"/>
  <c r="G63" i="34"/>
  <c r="K84" i="32"/>
  <c r="K82" i="31"/>
  <c r="K84" s="1"/>
  <c r="J4" i="88"/>
  <c r="H66" i="25"/>
  <c r="I102" i="32"/>
  <c r="I100" i="31"/>
  <c r="I102" s="1"/>
  <c r="J84" i="67"/>
  <c r="O63" i="48"/>
  <c r="J105" i="56"/>
  <c r="F66" i="84"/>
  <c r="M102" i="94"/>
  <c r="J81" i="74"/>
  <c r="M23" i="37"/>
  <c r="G90" i="76"/>
  <c r="M84" i="43"/>
  <c r="M98" i="88"/>
  <c r="J66" i="92"/>
  <c r="F78" i="51"/>
  <c r="J69" i="19"/>
  <c r="G72" i="58"/>
  <c r="O105" i="87"/>
  <c r="F96" i="48"/>
  <c r="E75" i="40"/>
  <c r="N27" i="31"/>
  <c r="I15" i="28"/>
  <c r="F84" i="73"/>
  <c r="J66" i="61"/>
  <c r="L63" i="46"/>
  <c r="G66" i="80"/>
  <c r="D19" i="37"/>
  <c r="O5"/>
  <c r="M69" i="59"/>
  <c r="E87" i="25"/>
  <c r="H72" i="54"/>
  <c r="E96" i="35"/>
  <c r="J105" i="86"/>
  <c r="H81" i="83"/>
  <c r="L108" i="30"/>
  <c r="E84" i="50"/>
  <c r="K93" i="84"/>
  <c r="F84" i="61"/>
  <c r="J93" i="46"/>
  <c r="M84" i="30"/>
  <c r="L94" i="31"/>
  <c r="L96" i="32"/>
  <c r="G65" i="31"/>
  <c r="H75" i="67"/>
  <c r="J34" i="31"/>
  <c r="E69" i="46"/>
  <c r="L8" i="88"/>
  <c r="H108" i="74"/>
  <c r="F46" i="88"/>
  <c r="F99" i="90"/>
  <c r="L102" i="77"/>
  <c r="O100" i="31"/>
  <c r="O102" i="32"/>
  <c r="H93" i="94"/>
  <c r="N87" i="38"/>
  <c r="N85" i="37"/>
  <c r="N87" s="1"/>
  <c r="E96" i="49"/>
  <c r="F81" i="55"/>
  <c r="L72" i="82"/>
  <c r="J90" i="84"/>
  <c r="M81" i="74"/>
  <c r="I13" i="37"/>
  <c r="G81" i="81"/>
  <c r="H96" i="25"/>
  <c r="K41" i="28"/>
  <c r="G69" i="19"/>
  <c r="N75" i="68"/>
  <c r="I78" i="27"/>
  <c r="G108" i="40"/>
  <c r="I75" i="91"/>
  <c r="O72" i="45"/>
  <c r="E90" i="74"/>
  <c r="K63" i="91"/>
  <c r="G69" i="75"/>
  <c r="M6" i="37"/>
  <c r="H78" i="55"/>
  <c r="H90" i="60"/>
  <c r="N69" i="49"/>
  <c r="H96" i="30"/>
  <c r="I90" i="34"/>
  <c r="H63" i="77"/>
  <c r="G81" i="69"/>
  <c r="F102" i="56"/>
  <c r="G51" i="28"/>
  <c r="F83"/>
  <c r="G63" i="29"/>
  <c r="G61" i="28"/>
  <c r="H72" i="36"/>
  <c r="N105" i="86"/>
  <c r="I108" i="65"/>
  <c r="D30" i="88"/>
  <c r="L99" i="49"/>
  <c r="D63" i="51"/>
  <c r="N63" i="69"/>
  <c r="F63" i="87"/>
  <c r="L93" i="38"/>
  <c r="L91" i="37"/>
  <c r="K81" i="54"/>
  <c r="K102" i="26"/>
  <c r="N90" i="71"/>
  <c r="E26" i="28"/>
  <c r="E108" i="91"/>
  <c r="O75" i="71"/>
  <c r="H75" i="70"/>
  <c r="E87" i="62"/>
  <c r="O84" i="25"/>
  <c r="J99" i="77"/>
  <c r="L89" i="37"/>
  <c r="G108" i="84"/>
  <c r="O17" i="88"/>
  <c r="I16"/>
  <c r="M36" i="31"/>
  <c r="D87" i="85"/>
  <c r="H81" i="90"/>
  <c r="N96" i="61"/>
  <c r="I96" i="74"/>
  <c r="D78" i="79"/>
  <c r="G106" i="37"/>
  <c r="G108" i="38"/>
  <c r="E81" i="59"/>
  <c r="G69" i="41"/>
  <c r="H105" i="52"/>
  <c r="F75" i="44"/>
  <c r="H69" i="48"/>
  <c r="M108" i="51"/>
  <c r="G38" i="31"/>
  <c r="L92" i="88"/>
  <c r="M84" i="40"/>
  <c r="M93" i="44"/>
  <c r="H66" i="45"/>
  <c r="L66" i="59"/>
  <c r="J76" i="88"/>
  <c r="J78" i="89"/>
  <c r="J66" i="40"/>
  <c r="D5" i="31"/>
  <c r="H90" i="47"/>
  <c r="D72" i="27"/>
  <c r="O102" i="41"/>
  <c r="M69" i="63"/>
  <c r="H102" i="86"/>
  <c r="G99" i="47"/>
  <c r="I63" i="63"/>
  <c r="N101" i="37"/>
  <c r="K31"/>
  <c r="N87" i="35"/>
  <c r="D96" i="51"/>
  <c r="D33" i="28"/>
  <c r="G74" i="37"/>
  <c r="D48"/>
  <c r="E81" i="19"/>
  <c r="K42" i="28"/>
  <c r="I5" i="31"/>
  <c r="D10"/>
  <c r="N58"/>
  <c r="E89"/>
  <c r="K75" i="73"/>
  <c r="K105" i="32"/>
  <c r="K103" i="31"/>
  <c r="D78" i="71"/>
  <c r="F96" i="68"/>
  <c r="I81" i="59"/>
  <c r="M8" i="28"/>
  <c r="D46"/>
  <c r="L77" i="88"/>
  <c r="L108" i="73"/>
  <c r="E99" i="32"/>
  <c r="E97" i="31"/>
  <c r="K90" i="25"/>
  <c r="M66" i="83"/>
  <c r="F78" i="33"/>
  <c r="O78" i="87"/>
  <c r="J81" i="75"/>
  <c r="N69" i="34"/>
  <c r="G75" i="87"/>
  <c r="G81" i="65"/>
  <c r="M84" i="71"/>
  <c r="E75" i="48"/>
  <c r="D102" i="19"/>
  <c r="G96" i="33"/>
  <c r="E96" i="47"/>
  <c r="I81" i="76"/>
  <c r="J74" i="88"/>
  <c r="G87" i="53"/>
  <c r="H63" i="27"/>
  <c r="O93" i="19"/>
  <c r="M84" i="41"/>
  <c r="N17" i="31"/>
  <c r="H96" i="86"/>
  <c r="K72" i="48"/>
  <c r="I96" i="84"/>
  <c r="F83" i="88"/>
  <c r="E73" i="37"/>
  <c r="E75" i="38"/>
  <c r="G87" i="87"/>
  <c r="J96" i="70"/>
  <c r="I108" i="60"/>
  <c r="O107" i="31"/>
  <c r="O90" i="74"/>
  <c r="M105" i="72"/>
  <c r="F81" i="77"/>
  <c r="D108" i="19"/>
  <c r="N78" i="70"/>
  <c r="N66" i="93"/>
  <c r="J90" i="48"/>
  <c r="L81"/>
  <c r="J37" i="88"/>
  <c r="H43" i="37"/>
  <c r="I81" i="66"/>
  <c r="K105" i="81"/>
  <c r="M25" i="31"/>
  <c r="M75" i="58"/>
  <c r="J75" i="59"/>
  <c r="L49" i="37"/>
  <c r="G63" i="35"/>
  <c r="L79" i="31"/>
  <c r="L81" i="32"/>
  <c r="G87" i="30"/>
  <c r="I75" i="87"/>
  <c r="G26" i="88"/>
  <c r="D16" i="37"/>
  <c r="D93" i="70"/>
  <c r="F78" i="54"/>
  <c r="F81" i="75"/>
  <c r="G102" i="87"/>
  <c r="K54" i="28"/>
  <c r="H107" i="31"/>
  <c r="M63" i="39"/>
  <c r="H93" i="66"/>
  <c r="N102" i="38"/>
  <c r="N100" i="37"/>
  <c r="O53" i="31"/>
  <c r="L81" i="56"/>
  <c r="F81" i="19"/>
  <c r="J86" i="37"/>
  <c r="O72" i="67"/>
  <c r="E72" i="70"/>
  <c r="I93" i="66"/>
  <c r="O99" i="75"/>
  <c r="D90" i="77"/>
  <c r="I78" i="87"/>
  <c r="G96"/>
  <c r="I93" i="27"/>
  <c r="J66" i="94"/>
  <c r="J39" i="28"/>
  <c r="J39" i="24" s="1"/>
  <c r="J66" i="36"/>
  <c r="J75" i="86"/>
  <c r="E90" i="91"/>
  <c r="H96" i="71"/>
  <c r="H46" i="88"/>
  <c r="I108" i="34"/>
  <c r="G101" i="28"/>
  <c r="J72" i="78"/>
  <c r="L103" i="28"/>
  <c r="L105" i="29"/>
  <c r="E87" i="93"/>
  <c r="H10" i="37"/>
  <c r="M47"/>
  <c r="N63" i="19"/>
  <c r="M81" i="36"/>
  <c r="I56" i="28"/>
  <c r="G97"/>
  <c r="G99" i="29"/>
  <c r="M99" i="30"/>
  <c r="M75" i="77"/>
  <c r="E96" i="64"/>
  <c r="D75" i="61"/>
  <c r="L63" i="33"/>
  <c r="L105" i="86"/>
  <c r="K69" i="75"/>
  <c r="O102" i="29"/>
  <c r="O100" i="28"/>
  <c r="N63" i="59"/>
  <c r="L104" i="37"/>
  <c r="L105" s="1"/>
  <c r="J108" i="68"/>
  <c r="K94" i="37"/>
  <c r="K96" i="38"/>
  <c r="M102" i="69"/>
  <c r="J96" i="57"/>
  <c r="O66" i="76"/>
  <c r="N81" i="68"/>
  <c r="J81" i="63"/>
  <c r="O81" i="49"/>
  <c r="N72" i="65"/>
  <c r="I63" i="94"/>
  <c r="E81" i="80"/>
  <c r="E99" i="42"/>
  <c r="F66" i="32"/>
  <c r="F64" i="31"/>
  <c r="J99" i="39"/>
  <c r="K46" i="88"/>
  <c r="E75" i="82"/>
  <c r="F72" i="86"/>
  <c r="E72" i="26"/>
  <c r="M74" i="28"/>
  <c r="M78" i="91"/>
  <c r="I59" i="37"/>
  <c r="D105" i="87"/>
  <c r="I72" i="49"/>
  <c r="J63" i="82"/>
  <c r="F81" i="30"/>
  <c r="E93" i="47"/>
  <c r="K55" i="88"/>
  <c r="N72" i="58"/>
  <c r="D72" i="30"/>
  <c r="F90" i="83"/>
  <c r="K87" i="47"/>
  <c r="H108" i="54"/>
  <c r="N66" i="35"/>
  <c r="M5" i="37"/>
  <c r="L96" i="92"/>
  <c r="D72" i="32"/>
  <c r="D70" i="31"/>
  <c r="K105" i="71"/>
  <c r="L63" i="19"/>
  <c r="K44" i="28"/>
  <c r="M75" i="84"/>
  <c r="G96" i="92"/>
  <c r="I108" i="39"/>
  <c r="G105" i="92"/>
  <c r="N63" i="94"/>
  <c r="K29" i="37"/>
  <c r="I105" i="50"/>
  <c r="D93" i="93"/>
  <c r="N84" i="75"/>
  <c r="N75" i="65"/>
  <c r="G75" i="44"/>
  <c r="D66" i="39"/>
  <c r="D75" i="83"/>
  <c r="F102" i="38"/>
  <c r="F100" i="37"/>
  <c r="E78" i="80"/>
  <c r="E20" i="28"/>
  <c r="I81" i="53"/>
  <c r="O53" i="28"/>
  <c r="D105" i="85"/>
  <c r="G63" i="19"/>
  <c r="J99" i="59"/>
  <c r="O92" i="31"/>
  <c r="J69" i="82"/>
  <c r="G69" i="72"/>
  <c r="L63" i="36"/>
  <c r="F96" i="86"/>
  <c r="G75" i="75"/>
  <c r="K81" i="74"/>
  <c r="N84" i="76"/>
  <c r="J84" i="68"/>
  <c r="E102" i="71"/>
  <c r="N93" i="59"/>
  <c r="E63" i="66"/>
  <c r="K99" i="58"/>
  <c r="H93" i="65"/>
  <c r="G75" i="64"/>
  <c r="N93" i="43"/>
  <c r="H108" i="27"/>
  <c r="N69" i="94"/>
  <c r="J37" i="31"/>
  <c r="K23" i="37"/>
  <c r="K42" i="88"/>
  <c r="N84" i="35"/>
  <c r="O108" i="75"/>
  <c r="O98" i="37"/>
  <c r="G72" i="48"/>
  <c r="O50" i="31"/>
  <c r="E102" i="19"/>
  <c r="D78" i="80"/>
  <c r="I84" i="64"/>
  <c r="F90" i="84"/>
  <c r="F75" i="52"/>
  <c r="J72" i="71"/>
  <c r="G93" i="87"/>
  <c r="J63" i="80"/>
  <c r="G93" i="90"/>
  <c r="O66" i="86"/>
  <c r="I93" i="47"/>
  <c r="I84" i="73"/>
  <c r="O47" i="31"/>
  <c r="O84" i="78"/>
  <c r="L75" i="93"/>
  <c r="E66" i="66"/>
  <c r="D96" i="65"/>
  <c r="L96" i="87"/>
  <c r="J102" i="41"/>
  <c r="N75" i="19"/>
  <c r="L108" i="87"/>
  <c r="H99" i="27"/>
  <c r="D78" i="76"/>
  <c r="F43" i="37"/>
  <c r="M78" i="74"/>
  <c r="D84" i="66"/>
  <c r="L72" i="25"/>
  <c r="L105" i="26"/>
  <c r="F90" i="92"/>
  <c r="L94" i="88"/>
  <c r="L96" i="89"/>
  <c r="M66" i="30"/>
  <c r="M96" i="75"/>
  <c r="J84"/>
  <c r="N93" i="94"/>
  <c r="D69" i="64"/>
  <c r="G69" i="66"/>
  <c r="D69" i="62"/>
  <c r="F72" i="35"/>
  <c r="G84" i="74"/>
  <c r="L96" i="64"/>
  <c r="L93" i="86"/>
  <c r="D87" i="32"/>
  <c r="D85" i="31"/>
  <c r="D87" s="1"/>
  <c r="K105" i="86"/>
  <c r="K84" i="44"/>
  <c r="N108" i="51"/>
  <c r="L90" i="46"/>
  <c r="O81" i="58"/>
  <c r="E75" i="76"/>
  <c r="H93" i="79"/>
  <c r="I63" i="43"/>
  <c r="G87" i="83"/>
  <c r="D69" i="45"/>
  <c r="J93" i="26"/>
  <c r="D96" i="66"/>
  <c r="H78" i="81"/>
  <c r="H66" i="70"/>
  <c r="D81" i="71"/>
  <c r="J83" i="37"/>
  <c r="J81" i="35"/>
  <c r="O105" i="94"/>
  <c r="L93" i="46"/>
  <c r="J69" i="78"/>
  <c r="O78" i="44"/>
  <c r="L72" i="68"/>
  <c r="D75" i="84"/>
  <c r="D63" i="46"/>
  <c r="H90" i="34"/>
  <c r="I99" i="79"/>
  <c r="L99" i="55"/>
  <c r="N102" i="57"/>
  <c r="E87" i="42"/>
  <c r="J20" i="31"/>
  <c r="N75" i="61"/>
  <c r="J38" i="88"/>
  <c r="I63" i="62"/>
  <c r="I107" i="31"/>
  <c r="J43"/>
  <c r="K69" i="48"/>
  <c r="F69" i="63"/>
  <c r="O99" i="93"/>
  <c r="K57" i="37"/>
  <c r="D75" i="56"/>
  <c r="F78" i="64"/>
  <c r="E35" i="28"/>
  <c r="I87" i="50"/>
  <c r="O99" i="69"/>
  <c r="F81" i="51"/>
  <c r="D52" i="37"/>
  <c r="M105" i="54"/>
  <c r="J68" i="88"/>
  <c r="N81" i="19"/>
  <c r="D61" i="88"/>
  <c r="D63" s="1"/>
  <c r="D63" i="89"/>
  <c r="O108" i="30"/>
  <c r="K63" i="90"/>
  <c r="G87" i="74"/>
  <c r="I87" i="43"/>
  <c r="L66" i="72"/>
  <c r="I72" i="57"/>
  <c r="E84" i="69"/>
  <c r="F66" i="60"/>
  <c r="N33" i="31"/>
  <c r="E78" i="70"/>
  <c r="J66" i="93"/>
  <c r="I93" i="54"/>
  <c r="H96" i="36"/>
  <c r="J72" i="35"/>
  <c r="F105" i="86"/>
  <c r="I99" i="84"/>
  <c r="O102" i="47"/>
  <c r="K78" i="89"/>
  <c r="K76" i="88"/>
  <c r="J71"/>
  <c r="O72" i="64"/>
  <c r="N78" i="40"/>
  <c r="N87" i="30"/>
  <c r="F69" i="65"/>
  <c r="K43" i="28"/>
  <c r="D108" i="43"/>
  <c r="E35" i="88"/>
  <c r="D49" i="37"/>
  <c r="M81" i="30"/>
  <c r="K99" i="89"/>
  <c r="K97" i="88"/>
  <c r="G87" i="76"/>
  <c r="N55" i="28"/>
  <c r="G84" i="90"/>
  <c r="E102" i="93"/>
  <c r="G102" i="46"/>
  <c r="O66" i="71"/>
  <c r="I93" i="48"/>
  <c r="D92" i="88"/>
  <c r="G96" i="26"/>
  <c r="E99" i="39"/>
  <c r="D29" i="28"/>
  <c r="D87" i="56"/>
  <c r="H77" i="88"/>
  <c r="K108" i="61"/>
  <c r="F99" i="76"/>
  <c r="M106" i="28"/>
  <c r="M108" i="29"/>
  <c r="I66" i="78"/>
  <c r="O84" i="64"/>
  <c r="G13" i="28"/>
  <c r="O63" i="86"/>
  <c r="F90" i="58"/>
  <c r="K87" i="87"/>
  <c r="H99" i="70"/>
  <c r="G69" i="26"/>
  <c r="L108" i="72"/>
  <c r="J87" i="19"/>
  <c r="M56" i="88"/>
  <c r="D96" i="58"/>
  <c r="F105" i="49"/>
  <c r="K81" i="70"/>
  <c r="E85" i="31"/>
  <c r="E87" i="32"/>
  <c r="M75" i="87"/>
  <c r="G66" i="19"/>
  <c r="G27" i="28"/>
  <c r="H66" i="58"/>
  <c r="J42" i="31"/>
  <c r="L90" i="87"/>
  <c r="I75" i="34"/>
  <c r="O93" i="57"/>
  <c r="E63" i="42"/>
  <c r="M69" i="76"/>
  <c r="F93" i="58"/>
  <c r="L81" i="57"/>
  <c r="D99" i="76"/>
  <c r="G84" i="85"/>
  <c r="M84" i="45"/>
  <c r="M93" i="63"/>
  <c r="N7" i="28"/>
  <c r="H93" i="77"/>
  <c r="J99" i="80"/>
  <c r="F77" i="37"/>
  <c r="K108" i="83"/>
  <c r="J51" i="28"/>
  <c r="J108" i="34"/>
  <c r="O73" i="37"/>
  <c r="O75" i="38"/>
  <c r="D81" i="55"/>
  <c r="K37" i="31"/>
  <c r="G61" i="88"/>
  <c r="G63" s="1"/>
  <c r="G63" i="89"/>
  <c r="D72" i="78"/>
  <c r="I66" i="26"/>
  <c r="K96" i="60"/>
  <c r="K84" i="47"/>
  <c r="F108" i="71"/>
  <c r="E105" i="36"/>
  <c r="M76" i="88"/>
  <c r="M78" i="89"/>
  <c r="G75" i="63"/>
  <c r="H31" i="31"/>
  <c r="M87" i="77"/>
  <c r="E66" i="41"/>
  <c r="J63" i="90"/>
  <c r="D66" i="43"/>
  <c r="I68" i="28"/>
  <c r="I31"/>
  <c r="K93" i="33"/>
  <c r="N90" i="82"/>
  <c r="N10" i="88"/>
  <c r="G66" i="35"/>
  <c r="E84" i="91"/>
  <c r="E105" i="81"/>
  <c r="D78" i="77"/>
  <c r="O102" i="74"/>
  <c r="N84" i="81"/>
  <c r="M105" i="59"/>
  <c r="H84" i="64"/>
  <c r="G90" i="52"/>
  <c r="N63" i="93"/>
  <c r="E81" i="70"/>
  <c r="G99" i="74"/>
  <c r="F47" i="37"/>
  <c r="L102" i="57"/>
  <c r="I84" i="26"/>
  <c r="N93" i="75"/>
  <c r="J108" i="56"/>
  <c r="L11" i="88"/>
  <c r="E84" i="48"/>
  <c r="E108" i="50"/>
  <c r="G84" i="38"/>
  <c r="G82" i="37"/>
  <c r="N66" i="83"/>
  <c r="L102" i="30"/>
  <c r="J72" i="41"/>
  <c r="H53" i="31"/>
  <c r="K90" i="27"/>
  <c r="CJ3" i="3"/>
  <c r="L63" i="80"/>
  <c r="I34" i="28"/>
  <c r="H105" i="61"/>
  <c r="M108" i="62"/>
  <c r="O63" i="51"/>
  <c r="K7" i="28"/>
  <c r="J75" i="94"/>
  <c r="G16" i="31"/>
  <c r="M81" i="59"/>
  <c r="K93" i="43"/>
  <c r="L30" i="37"/>
  <c r="J72" i="77"/>
  <c r="N72" i="36"/>
  <c r="N91" i="28"/>
  <c r="N93" i="29"/>
  <c r="I96" i="19"/>
  <c r="N73" i="37"/>
  <c r="N75" i="38"/>
  <c r="K7" i="37"/>
  <c r="K93" i="34"/>
  <c r="D108" i="75"/>
  <c r="F41" i="88"/>
  <c r="F81" i="92"/>
  <c r="L84" i="49"/>
  <c r="N63" i="78"/>
  <c r="F90" i="52"/>
  <c r="L87" i="72"/>
  <c r="G75" i="91"/>
  <c r="D81" i="42"/>
  <c r="M66" i="80"/>
  <c r="N48" i="28"/>
  <c r="I4"/>
  <c r="F93" i="48"/>
  <c r="E99" i="74"/>
  <c r="D69" i="48"/>
  <c r="M69" i="68"/>
  <c r="L99" i="34"/>
  <c r="F75" i="86"/>
  <c r="K63" i="74"/>
  <c r="G102" i="29"/>
  <c r="G100" i="28"/>
  <c r="F108" i="69"/>
  <c r="M102" i="84"/>
  <c r="O102" i="19"/>
  <c r="J78" i="71"/>
  <c r="K93" i="68"/>
  <c r="D57" i="88"/>
  <c r="I102" i="64"/>
  <c r="F63" i="32"/>
  <c r="F61" i="31"/>
  <c r="K15"/>
  <c r="M66" i="56"/>
  <c r="N8" i="28"/>
  <c r="D78" i="93"/>
  <c r="I94" i="28"/>
  <c r="I96" i="29"/>
  <c r="G105" i="73"/>
  <c r="I35" i="28"/>
  <c r="F81" i="85"/>
  <c r="O78" i="67"/>
  <c r="M99" i="51"/>
  <c r="H102" i="45"/>
  <c r="N102" i="72"/>
  <c r="G93" i="79"/>
  <c r="D48" i="28"/>
  <c r="O63" i="60"/>
  <c r="F69" i="30"/>
  <c r="F99" i="92"/>
  <c r="N4" i="88"/>
  <c r="M102" i="76"/>
  <c r="H84" i="94"/>
  <c r="F66" i="87"/>
  <c r="N66" i="69"/>
  <c r="E108" i="56"/>
  <c r="O66" i="39"/>
  <c r="K72" i="59"/>
  <c r="M99" i="75"/>
  <c r="H59" i="28"/>
  <c r="H77" i="37"/>
  <c r="E75" i="60"/>
  <c r="D96" i="59"/>
  <c r="J108" i="26"/>
  <c r="K108" i="63"/>
  <c r="G25" i="31"/>
  <c r="M90" i="27"/>
  <c r="O93" i="74"/>
  <c r="N96" i="62"/>
  <c r="G6" i="88"/>
  <c r="M69" i="48"/>
  <c r="K63" i="39"/>
  <c r="K81" i="27"/>
  <c r="J84" i="19"/>
  <c r="M61" i="88"/>
  <c r="M63" i="89"/>
  <c r="O105" i="81"/>
  <c r="E93" i="57"/>
  <c r="E64" i="28"/>
  <c r="E66" i="29"/>
  <c r="L63" i="87"/>
  <c r="H90" i="58"/>
  <c r="D84" i="59"/>
  <c r="O81" i="71"/>
  <c r="E78" i="45"/>
  <c r="N90" i="36"/>
  <c r="J81" i="80"/>
  <c r="L90" i="94"/>
  <c r="N75" i="75"/>
  <c r="L75"/>
  <c r="O96" i="56"/>
  <c r="G58" i="31"/>
  <c r="N96" i="33"/>
  <c r="L66" i="66"/>
  <c r="E54" i="37"/>
  <c r="D108" i="92"/>
  <c r="E23" i="28"/>
  <c r="M96" i="82"/>
  <c r="N12" i="37"/>
  <c r="K63" i="57"/>
  <c r="N69" i="54"/>
  <c r="H75" i="69"/>
  <c r="J55" i="31"/>
  <c r="G93" i="70"/>
  <c r="G29" i="88"/>
  <c r="I84" i="63"/>
  <c r="L99" i="44"/>
  <c r="I99" i="57"/>
  <c r="M96" i="67"/>
  <c r="K81" i="72"/>
  <c r="J70" i="88"/>
  <c r="J72" i="89"/>
  <c r="M94" i="28"/>
  <c r="M96" i="29"/>
  <c r="E84" i="67"/>
  <c r="J52" i="31"/>
  <c r="I72" i="35"/>
  <c r="F96" i="51"/>
  <c r="I66" i="71"/>
  <c r="N75" i="63"/>
  <c r="K69" i="30"/>
  <c r="L14" i="88"/>
  <c r="F39" i="28"/>
  <c r="M108" i="35"/>
  <c r="M65" i="88"/>
  <c r="K16"/>
  <c r="D52"/>
  <c r="G96" i="77"/>
  <c r="G89" i="88"/>
  <c r="L87" i="29"/>
  <c r="L85" i="28"/>
  <c r="I102" i="57"/>
  <c r="D87" i="43"/>
  <c r="E108" i="36"/>
  <c r="O72" i="81"/>
  <c r="N90" i="19"/>
  <c r="J81" i="77"/>
  <c r="F105" i="29"/>
  <c r="F103" i="28"/>
  <c r="F103" i="24" s="1"/>
  <c r="N78" i="66"/>
  <c r="D78" i="72"/>
  <c r="I78" i="93"/>
  <c r="H59" i="31"/>
  <c r="K100" i="37"/>
  <c r="K102" i="38"/>
  <c r="O69" i="90"/>
  <c r="I72" i="61"/>
  <c r="H87" i="34"/>
  <c r="D69" i="77"/>
  <c r="G78" i="73"/>
  <c r="J84" i="87"/>
  <c r="E103" i="88"/>
  <c r="E105" i="89"/>
  <c r="F38" i="37"/>
  <c r="H81" i="26"/>
  <c r="J78" i="77"/>
  <c r="H93" i="87"/>
  <c r="I75" i="70"/>
  <c r="E69" i="77"/>
  <c r="N99" i="82"/>
  <c r="D69" i="25"/>
  <c r="K105" i="92"/>
  <c r="G93" i="73"/>
  <c r="M105" i="56"/>
  <c r="G105" i="49"/>
  <c r="I52" i="88"/>
  <c r="K72" i="73"/>
  <c r="F54" i="88"/>
  <c r="D16"/>
  <c r="K90" i="45"/>
  <c r="N8" i="37"/>
  <c r="G59" i="28"/>
  <c r="D19" i="88"/>
  <c r="G90" i="44"/>
  <c r="L102" i="84"/>
  <c r="M72" i="76"/>
  <c r="G63" i="39"/>
  <c r="J108" i="30"/>
  <c r="D87" i="27"/>
  <c r="J105" i="50"/>
  <c r="D78" i="69"/>
  <c r="K87" i="84"/>
  <c r="L72" i="64"/>
  <c r="F72" i="40"/>
  <c r="O75" i="34"/>
  <c r="J90" i="72"/>
  <c r="H42" i="88"/>
  <c r="H102" i="30"/>
  <c r="H59" i="37"/>
  <c r="N75" i="36"/>
  <c r="F39" i="88"/>
  <c r="J25" i="28"/>
  <c r="F84" i="55"/>
  <c r="F69"/>
  <c r="O108" i="93"/>
  <c r="F84" i="38"/>
  <c r="F82" i="37"/>
  <c r="F99" i="53"/>
  <c r="L43" i="37"/>
  <c r="E105" i="66"/>
  <c r="H69" i="55"/>
  <c r="O46" i="28"/>
  <c r="L104" i="88"/>
  <c r="J67" i="31"/>
  <c r="J69" i="32"/>
  <c r="F21" i="28"/>
  <c r="D96" i="34"/>
  <c r="I81" i="51"/>
  <c r="I84" i="36"/>
  <c r="N72" i="77"/>
  <c r="I58" i="28"/>
  <c r="J78" i="55"/>
  <c r="G99" i="45"/>
  <c r="O93" i="90"/>
  <c r="J42" i="28"/>
  <c r="I96" i="69"/>
  <c r="G63" i="77"/>
  <c r="F105" i="58"/>
  <c r="J90" i="59"/>
  <c r="O87" i="71"/>
  <c r="G41" i="37"/>
  <c r="H38"/>
  <c r="M99" i="82"/>
  <c r="I17" i="31"/>
  <c r="E93" i="35"/>
  <c r="N62" i="31"/>
  <c r="H28" i="28"/>
  <c r="E52" i="31"/>
  <c r="J84" i="53"/>
  <c r="K81" i="94"/>
  <c r="O84" i="44"/>
  <c r="G105" i="67"/>
  <c r="D93" i="26"/>
  <c r="D52" i="31"/>
  <c r="D81" i="66"/>
  <c r="J63" i="67"/>
  <c r="O15" i="88"/>
  <c r="F20" i="37"/>
  <c r="E105" i="53"/>
  <c r="J78" i="48"/>
  <c r="I84" i="50"/>
  <c r="E81" i="91"/>
  <c r="D72" i="44"/>
  <c r="D102" i="48"/>
  <c r="H63" i="42"/>
  <c r="H81" i="62"/>
  <c r="E78" i="46"/>
  <c r="I99" i="54"/>
  <c r="G96" i="55"/>
  <c r="E69" i="58"/>
  <c r="D102" i="68"/>
  <c r="N90" i="64"/>
  <c r="D63" i="27"/>
  <c r="N87" i="93"/>
  <c r="G84" i="55"/>
  <c r="G81" i="77"/>
  <c r="D90" i="93"/>
  <c r="E69" i="25"/>
  <c r="H99" i="19"/>
  <c r="D90" i="92"/>
  <c r="L30" i="28"/>
  <c r="N68" i="88"/>
  <c r="N72" i="74"/>
  <c r="H93" i="36"/>
  <c r="L66" i="87"/>
  <c r="K93" i="72"/>
  <c r="F105" i="69"/>
  <c r="G75" i="62"/>
  <c r="J24" i="31"/>
  <c r="D69" i="53"/>
  <c r="L81" i="86"/>
  <c r="L99" i="27"/>
  <c r="N6" i="88"/>
  <c r="I63" i="82"/>
  <c r="M52" i="37"/>
  <c r="H84" i="30"/>
  <c r="N78" i="63"/>
  <c r="H78" i="56"/>
  <c r="L102" i="73"/>
  <c r="K22" i="31"/>
  <c r="F84" i="85"/>
  <c r="K81" i="51"/>
  <c r="I84" i="77"/>
  <c r="O105" i="36"/>
  <c r="M75" i="72"/>
  <c r="L72" i="51"/>
  <c r="H72" i="94"/>
  <c r="E66" i="40"/>
  <c r="J18" i="31"/>
  <c r="M90" i="46"/>
  <c r="O63" i="91"/>
  <c r="L105" i="78"/>
  <c r="I81" i="34"/>
  <c r="I66" i="51"/>
  <c r="H5" i="31"/>
  <c r="K102" i="44"/>
  <c r="D108" i="93"/>
  <c r="E102" i="61"/>
  <c r="K87" i="91"/>
  <c r="H69" i="27"/>
  <c r="K41" i="88"/>
  <c r="N90" i="60"/>
  <c r="J96" i="50"/>
  <c r="I75" i="89"/>
  <c r="I73" i="88"/>
  <c r="G96" i="75"/>
  <c r="L72" i="39"/>
  <c r="J10" i="28"/>
  <c r="O75" i="82"/>
  <c r="E72" i="93"/>
  <c r="H87" i="91"/>
  <c r="L105" i="53"/>
  <c r="H90" i="86"/>
  <c r="K90" i="93"/>
  <c r="I96" i="44"/>
  <c r="J99" i="82"/>
  <c r="G93" i="63"/>
  <c r="F87" i="61"/>
  <c r="M108" i="60"/>
  <c r="J69" i="50"/>
  <c r="O96" i="58"/>
  <c r="E87" i="66"/>
  <c r="L22" i="37"/>
  <c r="O78" i="71"/>
  <c r="M12" i="31"/>
  <c r="M102" i="54"/>
  <c r="M66" i="35"/>
  <c r="O63" i="68"/>
  <c r="L93" i="76"/>
  <c r="H69" i="86"/>
  <c r="J92" i="37"/>
  <c r="K58"/>
  <c r="I84" i="45"/>
  <c r="J93" i="61"/>
  <c r="F93" i="33"/>
  <c r="D108" i="34"/>
  <c r="H84" i="69"/>
  <c r="K37" i="28"/>
  <c r="O102" i="68"/>
  <c r="K19" i="37"/>
  <c r="L36" i="28"/>
  <c r="N5" i="31"/>
  <c r="G40" i="37"/>
  <c r="H75" i="78"/>
  <c r="I12" i="88"/>
  <c r="L90" i="40"/>
  <c r="I15" i="88"/>
  <c r="K63" i="27"/>
  <c r="K72" i="70"/>
  <c r="D48" i="88"/>
  <c r="M36"/>
  <c r="K90" i="40"/>
  <c r="E37" i="28"/>
  <c r="K102" i="80"/>
  <c r="M99" i="87"/>
  <c r="N108" i="29"/>
  <c r="N106" i="28"/>
  <c r="K78" i="82"/>
  <c r="I93" i="39"/>
  <c r="O99" i="35"/>
  <c r="H63" i="82"/>
  <c r="E85" i="37"/>
  <c r="E87" i="38"/>
  <c r="H99" i="91"/>
  <c r="I81" i="84"/>
  <c r="H23" i="31"/>
  <c r="E45"/>
  <c r="K75" i="74"/>
  <c r="K105" i="69"/>
  <c r="E75" i="39"/>
  <c r="M87" i="41"/>
  <c r="L99" i="73"/>
  <c r="F102" i="64"/>
  <c r="M105" i="35"/>
  <c r="G93" i="91"/>
  <c r="D105" i="84"/>
  <c r="M75" i="74"/>
  <c r="M81" i="49"/>
  <c r="H26" i="28"/>
  <c r="H99" i="50"/>
  <c r="O90" i="30"/>
  <c r="N102" i="62"/>
  <c r="O78" i="80"/>
  <c r="D87" i="36"/>
  <c r="D67" i="37"/>
  <c r="D69" i="38"/>
  <c r="O108" i="94"/>
  <c r="O38" i="31"/>
  <c r="O69" i="66"/>
  <c r="G33" i="88"/>
  <c r="G31" i="31"/>
  <c r="H72" i="83"/>
  <c r="F63" i="40"/>
  <c r="F74" i="88"/>
  <c r="G84" i="40"/>
  <c r="K90" i="72"/>
  <c r="J20" i="88"/>
  <c r="J108" i="73"/>
  <c r="K75" i="71"/>
  <c r="M63" i="34"/>
  <c r="M99" i="57"/>
  <c r="I105" i="36"/>
  <c r="D99" i="81"/>
  <c r="O66" i="64"/>
  <c r="L96" i="36"/>
  <c r="I69" i="19"/>
  <c r="O66" i="41"/>
  <c r="J66" i="89"/>
  <c r="J64" i="88"/>
  <c r="J108" i="77"/>
  <c r="J22" i="31"/>
  <c r="F84" i="72"/>
  <c r="F38" i="28"/>
  <c r="M108" i="76"/>
  <c r="O108" i="27"/>
  <c r="J84" i="73"/>
  <c r="M96" i="61"/>
  <c r="F75" i="34"/>
  <c r="F87" i="83"/>
  <c r="F69" i="34"/>
  <c r="F69" i="83"/>
  <c r="E69" i="47"/>
  <c r="M69" i="57"/>
  <c r="H105" i="80"/>
  <c r="L78" i="66"/>
  <c r="O90" i="44"/>
  <c r="M101" i="37"/>
  <c r="H105" i="85"/>
  <c r="E72" i="77"/>
  <c r="I98" i="37"/>
  <c r="I66" i="94"/>
  <c r="O90" i="92"/>
  <c r="M90" i="58"/>
  <c r="H45" i="88"/>
  <c r="K99" i="43"/>
  <c r="D75" i="86"/>
  <c r="F24" i="31"/>
  <c r="N105" i="93"/>
  <c r="E78" i="69"/>
  <c r="I78" i="36"/>
  <c r="E87" i="74"/>
  <c r="G96" i="60"/>
  <c r="H99" i="66"/>
  <c r="H96" i="40"/>
  <c r="J93" i="25"/>
  <c r="E95" i="88"/>
  <c r="M84" i="60"/>
  <c r="M25" i="88"/>
  <c r="L93" i="78"/>
  <c r="F63" i="63"/>
  <c r="E93" i="44"/>
  <c r="I105" i="51"/>
  <c r="O63" i="36"/>
  <c r="J93" i="67"/>
  <c r="L66" i="54"/>
  <c r="H90" i="30"/>
  <c r="I90" i="74"/>
  <c r="D77" i="28"/>
  <c r="L90" i="68"/>
  <c r="H63" i="59"/>
  <c r="I81" i="87"/>
  <c r="G36" i="28"/>
  <c r="N102" i="91"/>
  <c r="N63" i="55"/>
  <c r="M38" i="37"/>
  <c r="E13" i="31"/>
  <c r="N75" i="74"/>
  <c r="E63" i="55"/>
  <c r="J24" i="37"/>
  <c r="N48"/>
  <c r="L87" i="77"/>
  <c r="L96" i="34"/>
  <c r="F53" i="37"/>
  <c r="I63" i="91"/>
  <c r="E96" i="56"/>
  <c r="G32" i="88"/>
  <c r="K99" i="38"/>
  <c r="K97" i="37"/>
  <c r="K99" s="1"/>
  <c r="E43" i="31"/>
  <c r="K81" i="49"/>
  <c r="N101" i="28"/>
  <c r="J63" i="79"/>
  <c r="E99" i="36"/>
  <c r="I99" i="93"/>
  <c r="K105" i="27"/>
  <c r="E99" i="85"/>
  <c r="H78" i="41"/>
  <c r="E99" i="82"/>
  <c r="K37" i="37"/>
  <c r="I87" i="30"/>
  <c r="H72" i="85"/>
  <c r="D90" i="51"/>
  <c r="D105" i="36"/>
  <c r="M84" i="57"/>
  <c r="K93" i="69"/>
  <c r="M63" i="76"/>
  <c r="E63" i="81"/>
  <c r="K78" i="32"/>
  <c r="K76" i="31"/>
  <c r="N102" i="86"/>
  <c r="D99" i="45"/>
  <c r="F53" i="88"/>
  <c r="H78" i="92"/>
  <c r="J105" i="35"/>
  <c r="I87" i="79"/>
  <c r="E69" i="53"/>
  <c r="J75" i="62"/>
  <c r="G69" i="73"/>
  <c r="K66" i="91"/>
  <c r="D9" i="31"/>
  <c r="K63" i="67"/>
  <c r="G17" i="31"/>
  <c r="G72" i="53"/>
  <c r="K72" i="54"/>
  <c r="I87" i="92"/>
  <c r="N86" i="31"/>
  <c r="F87" i="33"/>
  <c r="I90" i="76"/>
  <c r="F69" i="59"/>
  <c r="J108"/>
  <c r="K96" i="73"/>
  <c r="O69" i="92"/>
  <c r="M99" i="53"/>
  <c r="I63" i="45"/>
  <c r="E75" i="58"/>
  <c r="L93" i="94"/>
  <c r="E93" i="63"/>
  <c r="O96" i="77"/>
  <c r="O99" i="45"/>
  <c r="K105" i="41"/>
  <c r="K69" i="53"/>
  <c r="F104" i="37"/>
  <c r="D81" i="81"/>
  <c r="G100" i="88"/>
  <c r="G102" s="1"/>
  <c r="G102" i="89"/>
  <c r="E84" i="29"/>
  <c r="E82" i="28"/>
  <c r="N93" i="63"/>
  <c r="I99" i="51"/>
  <c r="F69" i="46"/>
  <c r="G90" i="84"/>
  <c r="F75" i="64"/>
  <c r="J105" i="87"/>
  <c r="J37" i="28"/>
  <c r="H108" i="68"/>
  <c r="M85" i="28"/>
  <c r="M87" i="29"/>
  <c r="F27" i="37"/>
  <c r="G99" i="64"/>
  <c r="E59" i="28"/>
  <c r="L66" i="33"/>
  <c r="J63" i="54"/>
  <c r="M84" i="73"/>
  <c r="M57" i="88"/>
  <c r="L38" i="37"/>
  <c r="F84" i="91"/>
  <c r="I69" i="86"/>
  <c r="E99" i="25"/>
  <c r="G96" i="47"/>
  <c r="F18" i="88"/>
  <c r="G105" i="46"/>
  <c r="M90" i="25"/>
  <c r="H93" i="42"/>
  <c r="N69" i="30"/>
  <c r="M81" i="61"/>
  <c r="D78" i="35"/>
  <c r="J14" i="37"/>
  <c r="F84" i="51"/>
  <c r="I75" i="86"/>
  <c r="I38" i="31"/>
  <c r="N56" i="28"/>
  <c r="K94" i="31"/>
  <c r="K96" i="32"/>
  <c r="I72" i="86"/>
  <c r="L105" i="69"/>
  <c r="H87" i="41"/>
  <c r="G87" i="66"/>
  <c r="E69" i="34"/>
  <c r="N96" i="80"/>
  <c r="I96" i="52"/>
  <c r="H66" i="83"/>
  <c r="K69" i="32"/>
  <c r="K67" i="31"/>
  <c r="O72" i="44"/>
  <c r="I75" i="49"/>
  <c r="H35" i="28"/>
  <c r="M95" i="88"/>
  <c r="M96" s="1"/>
  <c r="N50" i="31"/>
  <c r="L96" i="93"/>
  <c r="K69" i="58"/>
  <c r="H96" i="78"/>
  <c r="H102" i="36"/>
  <c r="M75" i="70"/>
  <c r="I87" i="71"/>
  <c r="E87" i="77"/>
  <c r="L94" i="28"/>
  <c r="L96" i="29"/>
  <c r="J69" i="58"/>
  <c r="J78" i="38"/>
  <c r="J76" i="37"/>
  <c r="G66" i="90"/>
  <c r="M90" i="30"/>
  <c r="D90" i="60"/>
  <c r="E69" i="30"/>
  <c r="G39" i="31"/>
  <c r="F87" i="73"/>
  <c r="E75" i="64"/>
  <c r="F105" i="79"/>
  <c r="G84" i="51"/>
  <c r="M41" i="37"/>
  <c r="I105" i="55"/>
  <c r="J108"/>
  <c r="D19" i="31"/>
  <c r="E108" i="53"/>
  <c r="E72" i="94"/>
  <c r="M75" i="56"/>
  <c r="I43" i="37"/>
  <c r="G75" i="42"/>
  <c r="H108" i="75"/>
  <c r="L90" i="53"/>
  <c r="D105" i="78"/>
  <c r="G108" i="27"/>
  <c r="D75" i="35"/>
  <c r="E22" i="28"/>
  <c r="N66" i="82"/>
  <c r="N78" i="33"/>
  <c r="L84" i="34"/>
  <c r="G95" i="88"/>
  <c r="O102" i="45"/>
  <c r="G69" i="64"/>
  <c r="L87" i="26"/>
  <c r="G75" i="52"/>
  <c r="D72" i="26"/>
  <c r="E62" i="31"/>
  <c r="I69" i="44"/>
  <c r="L69" i="40"/>
  <c r="H90" i="49"/>
  <c r="I64" i="31"/>
  <c r="I66" i="32"/>
  <c r="D23" i="88"/>
  <c r="O72" i="72"/>
  <c r="N108" i="86"/>
  <c r="H81" i="73"/>
  <c r="G63" i="57"/>
  <c r="J69" i="60"/>
  <c r="M87" i="94"/>
  <c r="H63" i="32"/>
  <c r="H61" i="31"/>
  <c r="J93" i="89"/>
  <c r="J91" i="88"/>
  <c r="O41" i="31"/>
  <c r="G93" i="60"/>
  <c r="E108" i="29"/>
  <c r="E106" i="28"/>
  <c r="J37" i="37"/>
  <c r="O96" i="66"/>
  <c r="G36" i="37"/>
  <c r="O63" i="57"/>
  <c r="J63" i="78"/>
  <c r="D78" i="33"/>
  <c r="D29" i="37"/>
  <c r="F17"/>
  <c r="J87" i="41"/>
  <c r="M53" i="28"/>
  <c r="N102" i="87"/>
  <c r="E102" i="94"/>
  <c r="G108" i="41"/>
  <c r="D28" i="88"/>
  <c r="H84" i="93"/>
  <c r="G96" i="82"/>
  <c r="O87" i="89"/>
  <c r="O85" i="88"/>
  <c r="O87" s="1"/>
  <c r="L66" i="48"/>
  <c r="F90"/>
  <c r="K108" i="84"/>
  <c r="J99" i="69"/>
  <c r="L107" i="37"/>
  <c r="F108" i="67"/>
  <c r="N66" i="78"/>
  <c r="D7" i="88"/>
  <c r="H63" i="91"/>
  <c r="O95" i="31"/>
  <c r="O99" i="72"/>
  <c r="G30" i="28"/>
  <c r="N33"/>
  <c r="F102" i="69"/>
  <c r="O96" i="76"/>
  <c r="F66" i="86"/>
  <c r="G6" i="28"/>
  <c r="J36" i="31"/>
  <c r="K95" i="37"/>
  <c r="J10" i="31"/>
  <c r="H93" i="60"/>
  <c r="E108" i="64"/>
  <c r="N30" i="37"/>
  <c r="K75" i="43"/>
  <c r="O101" i="31"/>
  <c r="L21" i="28"/>
  <c r="F57"/>
  <c r="H63" i="29"/>
  <c r="H61" i="28"/>
  <c r="H63" s="1"/>
  <c r="J39" i="88"/>
  <c r="N102" i="76"/>
  <c r="L108" i="61"/>
  <c r="H11" i="37"/>
  <c r="L108" i="67"/>
  <c r="F85" i="37"/>
  <c r="F87" i="38"/>
  <c r="D84" i="27"/>
  <c r="N88" i="88"/>
  <c r="N90" s="1"/>
  <c r="N90" i="89"/>
  <c r="L10" i="88"/>
  <c r="D75" i="41"/>
  <c r="E87" i="51"/>
  <c r="H108"/>
  <c r="M105" i="36"/>
  <c r="L108" i="81"/>
  <c r="D66" i="93"/>
  <c r="G72" i="92"/>
  <c r="D99" i="66"/>
  <c r="J93" i="19"/>
  <c r="G88" i="31"/>
  <c r="G90" s="1"/>
  <c r="G90" i="32"/>
  <c r="L52" i="28"/>
  <c r="G102" i="72"/>
  <c r="E92" i="28"/>
  <c r="E90" i="35"/>
  <c r="I90" i="49"/>
  <c r="K68" i="28"/>
  <c r="K78" i="59"/>
  <c r="D69" i="90"/>
  <c r="H69" i="67"/>
  <c r="J99" i="46"/>
  <c r="J86" i="28"/>
  <c r="O108" i="29"/>
  <c r="O106" i="28"/>
  <c r="J84" i="69"/>
  <c r="D105" i="27"/>
  <c r="N93" i="67"/>
  <c r="J75" i="47"/>
  <c r="M63" i="67"/>
  <c r="J75" i="30"/>
  <c r="O8" i="37"/>
  <c r="L58" i="31"/>
  <c r="G102" i="27"/>
  <c r="H71" i="37"/>
  <c r="N102" i="83"/>
  <c r="H63" i="81"/>
  <c r="I90" i="77"/>
  <c r="H93" i="73"/>
  <c r="F81" i="67"/>
  <c r="I84"/>
  <c r="O35" i="37"/>
  <c r="F81" i="42"/>
  <c r="J64" i="37"/>
  <c r="J66" s="1"/>
  <c r="J66" i="38"/>
  <c r="O68" i="37"/>
  <c r="J72" i="47"/>
  <c r="J96" i="51"/>
  <c r="O78" i="39"/>
  <c r="D63" i="63"/>
  <c r="J105" i="64"/>
  <c r="L81" i="91"/>
  <c r="O78" i="70"/>
  <c r="M87" i="82"/>
  <c r="M96" i="74"/>
  <c r="D69" i="87"/>
  <c r="N9" i="88"/>
  <c r="L90" i="66"/>
  <c r="H65" i="28"/>
  <c r="D96" i="91"/>
  <c r="I78" i="94"/>
  <c r="M84" i="92"/>
  <c r="M90" i="34"/>
  <c r="M18" i="88"/>
  <c r="L84" i="84"/>
  <c r="H87" i="26"/>
  <c r="J105" i="41"/>
  <c r="K87" i="44"/>
  <c r="J78" i="75"/>
  <c r="K81" i="45"/>
  <c r="F84" i="26"/>
  <c r="I63" i="80"/>
  <c r="N74" i="37"/>
  <c r="M102" i="43"/>
  <c r="K90" i="41"/>
  <c r="M69" i="51"/>
  <c r="K108" i="91"/>
  <c r="K93" i="70"/>
  <c r="O75" i="39"/>
  <c r="K96" i="86"/>
  <c r="I45" i="37"/>
  <c r="H105" i="50"/>
  <c r="L81" i="67"/>
  <c r="E75" i="19"/>
  <c r="E96" i="86"/>
  <c r="D49" i="31"/>
  <c r="J15" i="88"/>
  <c r="E105" i="75"/>
  <c r="G66" i="87"/>
  <c r="J106" i="31"/>
  <c r="J108" s="1"/>
  <c r="J108" i="32"/>
  <c r="J75" i="25"/>
  <c r="M99" i="66"/>
  <c r="O67" i="88"/>
  <c r="O69" i="89"/>
  <c r="M99" i="44"/>
  <c r="O102" i="93"/>
  <c r="J102" i="77"/>
  <c r="L63" i="45"/>
  <c r="J58" i="28"/>
  <c r="G63" i="55"/>
  <c r="O69" i="63"/>
  <c r="K87" i="66"/>
  <c r="K93" i="53"/>
  <c r="F53" i="31"/>
  <c r="E72" i="61"/>
  <c r="M108" i="91"/>
  <c r="O78" i="75"/>
  <c r="F30" i="28"/>
  <c r="H78" i="75"/>
  <c r="N90" i="40"/>
  <c r="G63" i="87"/>
  <c r="O93" i="94"/>
  <c r="K68" i="37"/>
  <c r="F96" i="81"/>
  <c r="G69" i="25"/>
  <c r="M78" i="33"/>
  <c r="H63" i="53"/>
  <c r="E105" i="39"/>
  <c r="I26" i="28"/>
  <c r="F102" i="29"/>
  <c r="F100" i="28"/>
  <c r="O72" i="80"/>
  <c r="G87" i="86"/>
  <c r="D93" i="55"/>
  <c r="O9" i="28"/>
  <c r="G90" i="56"/>
  <c r="F108" i="81"/>
  <c r="I69" i="84"/>
  <c r="L69" i="67"/>
  <c r="F90" i="46"/>
  <c r="I72"/>
  <c r="D72" i="71"/>
  <c r="L87" i="56"/>
  <c r="E15" i="28"/>
  <c r="D99" i="36"/>
  <c r="N16" i="28"/>
  <c r="H90" i="66"/>
  <c r="O52" i="28"/>
  <c r="N104"/>
  <c r="F63" i="92"/>
  <c r="G93" i="85"/>
  <c r="O82" i="37"/>
  <c r="O84" i="38"/>
  <c r="F90" i="33"/>
  <c r="G108" i="94"/>
  <c r="K73" i="28"/>
  <c r="K75" s="1"/>
  <c r="K75" i="29"/>
  <c r="N87" i="86"/>
  <c r="D66" i="91"/>
  <c r="F78" i="52"/>
  <c r="O16" i="31"/>
  <c r="M72" i="62"/>
  <c r="M102" i="40"/>
  <c r="D69" i="59"/>
  <c r="K99" i="84"/>
  <c r="D97" i="37"/>
  <c r="D99" i="38"/>
  <c r="O75" i="56"/>
  <c r="K75" i="93"/>
  <c r="G11" i="37"/>
  <c r="M102" i="62"/>
  <c r="M8" i="88"/>
  <c r="I72" i="39"/>
  <c r="F90" i="57"/>
  <c r="H73" i="37"/>
  <c r="H75" i="38"/>
  <c r="M105"/>
  <c r="M103" i="37"/>
  <c r="J81" i="44"/>
  <c r="F99" i="36"/>
  <c r="E46" i="31"/>
  <c r="J81" i="59"/>
  <c r="N12" i="28"/>
  <c r="J69" i="30"/>
  <c r="M58" i="37"/>
  <c r="M55" i="28"/>
  <c r="J102" i="69"/>
  <c r="J68" i="28"/>
  <c r="F78" i="83"/>
  <c r="I87" i="86"/>
  <c r="D90" i="67"/>
  <c r="G105" i="19"/>
  <c r="H99" i="69"/>
  <c r="F93" i="71"/>
  <c r="M102" i="19"/>
  <c r="J99" i="66"/>
  <c r="N72"/>
  <c r="J63" i="65"/>
  <c r="M81" i="75"/>
  <c r="E102" i="43"/>
  <c r="I81" i="94"/>
  <c r="G63" i="80"/>
  <c r="O16" i="88"/>
  <c r="I96" i="70"/>
  <c r="N6" i="28"/>
  <c r="E75" i="46"/>
  <c r="K75" i="39"/>
  <c r="I78" i="34"/>
  <c r="L108" i="53"/>
  <c r="J107" i="88"/>
  <c r="O47" i="28"/>
  <c r="F90" i="59"/>
  <c r="H81" i="76"/>
  <c r="N66" i="60"/>
  <c r="H99" i="55"/>
  <c r="K63" i="25"/>
  <c r="I81" i="86"/>
  <c r="M66" i="73"/>
  <c r="E81" i="82"/>
  <c r="J48" i="31"/>
  <c r="N90" i="53"/>
  <c r="J23" i="37"/>
  <c r="I96" i="34"/>
  <c r="E63" i="41"/>
  <c r="G69" i="60"/>
  <c r="L78" i="48"/>
  <c r="I66" i="84"/>
  <c r="O99" i="87"/>
  <c r="F99" i="58"/>
  <c r="O98" i="28"/>
  <c r="D69" i="26"/>
  <c r="J69" i="72"/>
  <c r="K84" i="78"/>
  <c r="O47" i="37"/>
  <c r="K69" i="56"/>
  <c r="L66" i="45"/>
  <c r="L105" i="92"/>
  <c r="I84" i="83"/>
  <c r="L66" i="55"/>
  <c r="E72" i="69"/>
  <c r="M72" i="77"/>
  <c r="M75" i="27"/>
  <c r="G39" i="88"/>
  <c r="H78" i="79"/>
  <c r="K90" i="77"/>
  <c r="O102" i="62"/>
  <c r="E18" i="37"/>
  <c r="K102" i="64"/>
  <c r="D63" i="39"/>
  <c r="G87" i="78"/>
  <c r="O69" i="76"/>
  <c r="L102" i="44"/>
  <c r="F99" i="26"/>
  <c r="G23" i="37"/>
  <c r="I99" i="64"/>
  <c r="G69" i="46"/>
  <c r="D14" i="37"/>
  <c r="J55" i="88"/>
  <c r="O6" i="28"/>
  <c r="J105" i="73"/>
  <c r="H66" i="61"/>
  <c r="M63" i="63"/>
  <c r="E21" i="88"/>
  <c r="F108" i="30"/>
  <c r="K23" i="28"/>
  <c r="O66" i="83"/>
  <c r="K90" i="59"/>
  <c r="N90" i="74"/>
  <c r="H84" i="33"/>
  <c r="O36" i="37"/>
  <c r="K63" i="53"/>
  <c r="G14" i="88"/>
  <c r="E102" i="59"/>
  <c r="G81" i="58"/>
  <c r="M105" i="19"/>
  <c r="J74" i="28"/>
  <c r="M69" i="67"/>
  <c r="N81" i="78"/>
  <c r="N45" i="37"/>
  <c r="I108" i="53"/>
  <c r="O69" i="93"/>
  <c r="I63" i="69"/>
  <c r="D15" i="28"/>
  <c r="L34" i="88"/>
  <c r="G78" i="86"/>
  <c r="G69" i="84"/>
  <c r="G102" i="79"/>
  <c r="E99" i="19"/>
  <c r="M105" i="71"/>
  <c r="E90" i="48"/>
  <c r="N87" i="60"/>
  <c r="H87" i="84"/>
  <c r="J96" i="56"/>
  <c r="O93" i="83"/>
  <c r="D75" i="71"/>
  <c r="O30" i="88"/>
  <c r="D69" i="50"/>
  <c r="O93" i="87"/>
  <c r="E93" i="52"/>
  <c r="N84" i="77"/>
  <c r="D93" i="52"/>
  <c r="I99" i="72"/>
  <c r="F108" i="74"/>
  <c r="M84" i="35"/>
  <c r="J108" i="79"/>
  <c r="L84" i="73"/>
  <c r="E90" i="60"/>
  <c r="H63" i="55"/>
  <c r="N66" i="87"/>
  <c r="E90" i="40"/>
  <c r="H99" i="30"/>
  <c r="N66" i="41"/>
  <c r="G19" i="28"/>
  <c r="O7"/>
  <c r="E78" i="68"/>
  <c r="M63" i="73"/>
  <c r="D44" i="31"/>
  <c r="K96" i="53"/>
  <c r="O25" i="31"/>
  <c r="M72" i="30"/>
  <c r="K90" i="87"/>
  <c r="K50" i="31"/>
  <c r="D62" i="28"/>
  <c r="M99" i="68"/>
  <c r="L96" i="65"/>
  <c r="L72" i="93"/>
  <c r="L72" i="84"/>
  <c r="D84" i="86"/>
  <c r="G81" i="63"/>
  <c r="D66" i="25"/>
  <c r="F108" i="70"/>
  <c r="O78" i="59"/>
  <c r="H81" i="78"/>
  <c r="H63" i="76"/>
  <c r="F75" i="91"/>
  <c r="K87" i="43"/>
  <c r="N93" i="49"/>
  <c r="F69" i="71"/>
  <c r="N11" i="28"/>
  <c r="I10" i="37"/>
  <c r="O34" i="88"/>
  <c r="E63" i="36"/>
  <c r="G84" i="67"/>
  <c r="L105" i="54"/>
  <c r="H66" i="79"/>
  <c r="N69" i="41"/>
  <c r="E66" i="60"/>
  <c r="I93" i="80"/>
  <c r="K8" i="31"/>
  <c r="N72" i="92"/>
  <c r="N101" i="31"/>
  <c r="D56"/>
  <c r="E10" i="28"/>
  <c r="D36" i="31"/>
  <c r="I84" i="92"/>
  <c r="G108" i="79"/>
  <c r="H75" i="80"/>
  <c r="F7" i="37"/>
  <c r="O72" i="55"/>
  <c r="E105" i="30"/>
  <c r="I78" i="69"/>
  <c r="I105" i="49"/>
  <c r="I108" i="74"/>
  <c r="N23" i="28"/>
  <c r="K66" i="44"/>
  <c r="O25" i="88"/>
  <c r="E63" i="61"/>
  <c r="K75" i="64"/>
  <c r="I99" i="68"/>
  <c r="D100" i="31"/>
  <c r="D102" i="32"/>
  <c r="D26" i="37"/>
  <c r="K96" i="56"/>
  <c r="F96" i="64"/>
  <c r="I72" i="34"/>
  <c r="E96" i="43"/>
  <c r="G75" i="56"/>
  <c r="O108" i="32"/>
  <c r="O106" i="31"/>
  <c r="O108" s="1"/>
  <c r="G96" i="69"/>
  <c r="N43" i="31"/>
  <c r="L81" i="19"/>
  <c r="L72" i="69"/>
  <c r="F99" i="45"/>
  <c r="H102" i="65"/>
  <c r="D108" i="84"/>
  <c r="M96" i="49"/>
  <c r="F66" i="59"/>
  <c r="N63" i="43"/>
  <c r="J99" i="65"/>
  <c r="D75" i="47"/>
  <c r="K78" i="55"/>
  <c r="I90" i="71"/>
  <c r="D78" i="47"/>
  <c r="H108" i="57"/>
  <c r="L75" i="59"/>
  <c r="O84" i="65"/>
  <c r="H8" i="37"/>
  <c r="K87" i="55"/>
  <c r="I63" i="19"/>
  <c r="F33" i="37"/>
  <c r="M108" i="78"/>
  <c r="G63" i="27"/>
  <c r="O63" i="76"/>
  <c r="E69" i="19"/>
  <c r="N72" i="60"/>
  <c r="I69" i="48"/>
  <c r="N72" i="80"/>
  <c r="J93" i="73"/>
  <c r="E14" i="96"/>
  <c r="F14"/>
  <c r="N102" i="44"/>
  <c r="M99" i="55"/>
  <c r="D27" i="28"/>
  <c r="M93" i="58"/>
  <c r="G55" i="31"/>
  <c r="M108" i="81"/>
  <c r="E11" i="37"/>
  <c r="D63" i="35"/>
  <c r="N69" i="90"/>
  <c r="L102" i="19"/>
  <c r="N102" i="66"/>
  <c r="G81" i="34"/>
  <c r="K81" i="71"/>
  <c r="H90" i="35"/>
  <c r="N75" i="46"/>
  <c r="D40" i="88"/>
  <c r="L50" i="31"/>
  <c r="D90" i="56"/>
  <c r="M87" i="89"/>
  <c r="M85" i="88"/>
  <c r="D48" i="31"/>
  <c r="O90" i="63"/>
  <c r="H87" i="68"/>
  <c r="I63" i="58"/>
  <c r="E90" i="30"/>
  <c r="J103" i="88"/>
  <c r="J105" i="89"/>
  <c r="L63" i="83"/>
  <c r="I84" i="78"/>
  <c r="J87" i="90"/>
  <c r="F78" i="94"/>
  <c r="N87" i="51"/>
  <c r="L75" i="77"/>
  <c r="F105" i="70"/>
  <c r="M78" i="57"/>
  <c r="L66" i="77"/>
  <c r="G108" i="34"/>
  <c r="I87" i="53"/>
  <c r="N108" i="43"/>
  <c r="K78" i="65"/>
  <c r="E99" i="68"/>
  <c r="G99" i="39"/>
  <c r="G96" i="44"/>
  <c r="L66" i="34"/>
  <c r="J96" i="25"/>
  <c r="O87" i="87"/>
  <c r="D93" i="53"/>
  <c r="K72" i="87"/>
  <c r="D37" i="88"/>
  <c r="F4" i="28"/>
  <c r="F63" i="44"/>
  <c r="O33" i="88"/>
  <c r="I81" i="89"/>
  <c r="I79" i="88"/>
  <c r="D93" i="66"/>
  <c r="H96" i="79"/>
  <c r="N49" i="28"/>
  <c r="K87" i="63"/>
  <c r="E6" i="37"/>
  <c r="O96" i="93"/>
  <c r="N69" i="80"/>
  <c r="F105" i="71"/>
  <c r="I50" i="37"/>
  <c r="I75" i="77"/>
  <c r="N99" i="47"/>
  <c r="O65" i="88"/>
  <c r="D92" i="37"/>
  <c r="M95" i="31"/>
  <c r="M96" s="1"/>
  <c r="D90" i="52"/>
  <c r="O93" i="76"/>
  <c r="F96" i="33"/>
  <c r="G78" i="62"/>
  <c r="L102" i="80"/>
  <c r="L93" i="68"/>
  <c r="N72" i="73"/>
  <c r="H87" i="49"/>
  <c r="O69" i="41"/>
  <c r="F102" i="68"/>
  <c r="L72" i="47"/>
  <c r="M5" i="31"/>
  <c r="N108" i="62"/>
  <c r="J66" i="90"/>
  <c r="O81" i="30"/>
  <c r="G72" i="56"/>
  <c r="M75" i="26"/>
  <c r="L84" i="43"/>
  <c r="M93" i="64"/>
  <c r="M93" i="62"/>
  <c r="L99" i="58"/>
  <c r="F90" i="19"/>
  <c r="F75" i="43"/>
  <c r="L75" i="61"/>
  <c r="F41" i="31"/>
  <c r="I81" i="64"/>
  <c r="O93" i="75"/>
  <c r="I47" i="28"/>
  <c r="O69" i="30"/>
  <c r="M90" i="61"/>
  <c r="O6" i="88"/>
  <c r="J78" i="93"/>
  <c r="F99" i="52"/>
  <c r="O78" i="56"/>
  <c r="J81" i="55"/>
  <c r="H63" i="44"/>
  <c r="J15" i="28"/>
  <c r="H69" i="61"/>
  <c r="I102" i="94"/>
  <c r="I93" i="42"/>
  <c r="I63" i="73"/>
  <c r="N105" i="65"/>
  <c r="N51" i="28"/>
  <c r="D105" i="48"/>
  <c r="O99" i="49"/>
  <c r="K69" i="64"/>
  <c r="D75"/>
  <c r="I96" i="26"/>
  <c r="G87" i="63"/>
  <c r="F21" i="37"/>
  <c r="G90" i="35"/>
  <c r="F108" i="33"/>
  <c r="H69" i="76"/>
  <c r="D66" i="56"/>
  <c r="H66" i="80"/>
  <c r="E72" i="68"/>
  <c r="K104" i="31"/>
  <c r="L99" i="92"/>
  <c r="M87" i="57"/>
  <c r="O105" i="74"/>
  <c r="L13" i="31"/>
  <c r="H87" i="76"/>
  <c r="M63" i="60"/>
  <c r="E87" i="36"/>
  <c r="J75" i="45"/>
  <c r="J15" i="31"/>
  <c r="G108" i="57"/>
  <c r="H51" i="88"/>
  <c r="L72" i="44"/>
  <c r="J75" i="75"/>
  <c r="I49" i="28"/>
  <c r="J78" i="68"/>
  <c r="N63" i="73"/>
  <c r="L63" i="29"/>
  <c r="L61" i="28"/>
  <c r="D21" i="37"/>
  <c r="G87" i="41"/>
  <c r="G75" i="80"/>
  <c r="N90" i="84"/>
  <c r="N90" i="44"/>
  <c r="F108" i="57"/>
  <c r="H72" i="53"/>
  <c r="E99" i="65"/>
  <c r="G78" i="41"/>
  <c r="E96" i="19"/>
  <c r="O75" i="78"/>
  <c r="F108" i="87"/>
  <c r="E105" i="60"/>
  <c r="M78" i="90"/>
  <c r="G81" i="27"/>
  <c r="L66" i="71"/>
  <c r="H93" i="89"/>
  <c r="H91" i="88"/>
  <c r="O19" i="28"/>
  <c r="O84" i="81"/>
  <c r="L105" i="34"/>
  <c r="I70" i="31"/>
  <c r="I72" i="32"/>
  <c r="M91" i="37"/>
  <c r="M93" i="38"/>
  <c r="G99" i="75"/>
  <c r="L81" i="26"/>
  <c r="O84" i="80"/>
  <c r="E90" i="27"/>
  <c r="H90" i="75"/>
  <c r="G75" i="66"/>
  <c r="F102" i="94"/>
  <c r="O5" i="88"/>
  <c r="H87" i="35"/>
  <c r="J108" i="46"/>
  <c r="F78" i="19"/>
  <c r="I102" i="45"/>
  <c r="G80" i="31"/>
  <c r="L69" i="48"/>
  <c r="H66" i="43"/>
  <c r="E99" i="64"/>
  <c r="K72" i="61"/>
  <c r="N90" i="68"/>
  <c r="J63" i="86"/>
  <c r="F78" i="81"/>
  <c r="D78" i="65"/>
  <c r="J16" i="88"/>
  <c r="H108" i="81"/>
  <c r="J66" i="48"/>
  <c r="N75" i="92"/>
  <c r="O84" i="73"/>
  <c r="G93" i="43"/>
  <c r="K102" i="86"/>
  <c r="E78" i="71"/>
  <c r="G105" i="63"/>
  <c r="O71" i="31"/>
  <c r="J66" i="34"/>
  <c r="D31" i="88"/>
  <c r="H75" i="72"/>
  <c r="M78" i="76"/>
  <c r="E102" i="77"/>
  <c r="H93" i="68"/>
  <c r="O81" i="77"/>
  <c r="J90" i="73"/>
  <c r="I93" i="78"/>
  <c r="O13" i="31"/>
  <c r="I75" i="56"/>
  <c r="J108" i="45"/>
  <c r="H99" i="86"/>
  <c r="L87" i="61"/>
  <c r="M93" i="59"/>
  <c r="K84" i="86"/>
  <c r="H55" i="28"/>
  <c r="E93" i="29"/>
  <c r="E91" i="28"/>
  <c r="H108" i="45"/>
  <c r="N99" i="48"/>
  <c r="F78" i="92"/>
  <c r="I87" i="65"/>
  <c r="G69" i="30"/>
  <c r="O10" i="28"/>
  <c r="O99" i="68"/>
  <c r="E4" i="31"/>
  <c r="H99" i="63"/>
  <c r="J87" i="34"/>
  <c r="I108" i="46"/>
  <c r="N87" i="67"/>
  <c r="I72" i="48"/>
  <c r="G69" i="71"/>
  <c r="H90" i="76"/>
  <c r="O81" i="83"/>
  <c r="J72" i="56"/>
  <c r="M29" i="88"/>
  <c r="K90" i="48"/>
  <c r="L104" i="28"/>
  <c r="L105" i="81"/>
  <c r="N99" i="25"/>
  <c r="L39" i="31"/>
  <c r="J81" i="19"/>
  <c r="K99" i="87"/>
  <c r="H72" i="80"/>
  <c r="N102" i="84"/>
  <c r="N108" i="81"/>
  <c r="N66" i="54"/>
  <c r="E68" i="28"/>
  <c r="L93" i="33"/>
  <c r="D102" i="66"/>
  <c r="N69" i="84"/>
  <c r="H84" i="62"/>
  <c r="H78" i="34"/>
  <c r="K78" i="86"/>
  <c r="K75" i="57"/>
  <c r="O66" i="81"/>
  <c r="N20" i="88"/>
  <c r="L99" i="67"/>
  <c r="G75" i="57"/>
  <c r="L105" i="70"/>
  <c r="M69" i="72"/>
  <c r="D102" i="43"/>
  <c r="E38" i="31"/>
  <c r="J102" i="19"/>
  <c r="H102" i="61"/>
  <c r="F93" i="64"/>
  <c r="J40" i="31"/>
  <c r="O87" i="47"/>
  <c r="E42" i="37"/>
  <c r="D95" i="88"/>
  <c r="D87" i="70"/>
  <c r="G84" i="63"/>
  <c r="I47" i="37"/>
  <c r="O63" i="39"/>
  <c r="F66" i="52"/>
  <c r="H69" i="44"/>
  <c r="H75" i="51"/>
  <c r="H72" i="25"/>
  <c r="M93" i="36"/>
  <c r="O93" i="25"/>
  <c r="M81" i="68"/>
  <c r="H24" i="88"/>
  <c r="E16" i="28"/>
  <c r="D5" i="37"/>
  <c r="I99" i="44"/>
  <c r="D96" i="61"/>
  <c r="I88" i="31"/>
  <c r="I90" i="32"/>
  <c r="L42" i="37"/>
  <c r="K78" i="81"/>
  <c r="H81" i="94"/>
  <c r="L75" i="76"/>
  <c r="H72" i="56"/>
  <c r="E66" i="27"/>
  <c r="L84" i="80"/>
  <c r="L87" i="49"/>
  <c r="N96" i="58"/>
  <c r="N75" i="51"/>
  <c r="K84" i="82"/>
  <c r="K20" i="37"/>
  <c r="M87" i="55"/>
  <c r="G87" i="84"/>
  <c r="E78" i="49"/>
  <c r="N99" i="32"/>
  <c r="N97" i="31"/>
  <c r="F75" i="67"/>
  <c r="J66" i="63"/>
  <c r="H81" i="25"/>
  <c r="M44" i="31"/>
  <c r="N66" i="26"/>
  <c r="L87" i="53"/>
  <c r="L78" i="71"/>
  <c r="J105" i="78"/>
  <c r="N55" i="37"/>
  <c r="N24" i="31"/>
  <c r="M99" i="19"/>
  <c r="M14" i="96"/>
  <c r="O66" i="77"/>
  <c r="M75" i="25"/>
  <c r="F12" i="88"/>
  <c r="D26"/>
  <c r="M87" i="84"/>
  <c r="E75" i="25"/>
  <c r="O105" i="39"/>
  <c r="N78" i="62"/>
  <c r="D53" i="28"/>
  <c r="L78" i="51"/>
  <c r="E93" i="70"/>
  <c r="F108" i="93"/>
  <c r="L10" i="28"/>
  <c r="E45" i="37"/>
  <c r="O93" i="48"/>
  <c r="E75" i="93"/>
  <c r="I108" i="73"/>
  <c r="F84" i="68"/>
  <c r="D102" i="39"/>
  <c r="H103" i="28"/>
  <c r="H105" i="29"/>
  <c r="N87" i="82"/>
  <c r="H31" i="28"/>
  <c r="I96" i="66"/>
  <c r="N108" i="35"/>
  <c r="O54" i="88"/>
  <c r="J75" i="66"/>
  <c r="I105" i="57"/>
  <c r="L24" i="37"/>
  <c r="I23" i="88"/>
  <c r="F81" i="65"/>
  <c r="E74" i="37"/>
  <c r="K108" i="27"/>
  <c r="H66" i="55"/>
  <c r="G84" i="44"/>
  <c r="O36" i="28"/>
  <c r="L69" i="34"/>
  <c r="L99" i="61"/>
  <c r="H69" i="35"/>
  <c r="F75" i="36"/>
  <c r="O93" i="66"/>
  <c r="G69" i="93"/>
  <c r="H29" i="88"/>
  <c r="I12" i="28"/>
  <c r="H72" i="59"/>
  <c r="D79" i="28"/>
  <c r="D81" i="29"/>
  <c r="K39" i="37"/>
  <c r="J84" i="83"/>
  <c r="E69" i="50"/>
  <c r="E14" i="31"/>
  <c r="K63" i="89"/>
  <c r="K61" i="88"/>
  <c r="K63" s="1"/>
  <c r="O75" i="33"/>
  <c r="O99" i="62"/>
  <c r="K96" i="67"/>
  <c r="G90" i="33"/>
  <c r="J108" i="87"/>
  <c r="K108" i="40"/>
  <c r="G69" i="45"/>
  <c r="D78" i="60"/>
  <c r="F105" i="72"/>
  <c r="I72" i="68"/>
  <c r="I69" i="93"/>
  <c r="N54" i="88"/>
  <c r="H90" i="53"/>
  <c r="F96" i="78"/>
  <c r="D23" i="28"/>
  <c r="N90" i="39"/>
  <c r="H93" i="92"/>
  <c r="L36" i="31"/>
  <c r="I102" i="85"/>
  <c r="I78" i="47"/>
  <c r="O84" i="40"/>
  <c r="O108" i="62"/>
  <c r="I27" i="31"/>
  <c r="E99" i="54"/>
  <c r="D45" i="88"/>
  <c r="M93" i="61"/>
  <c r="M17" i="37"/>
  <c r="M72" i="66"/>
  <c r="I78" i="72"/>
  <c r="E22" i="31"/>
  <c r="K4" i="88"/>
  <c r="J66" i="58"/>
  <c r="K81" i="77"/>
  <c r="I99" i="33"/>
  <c r="O96" i="70"/>
  <c r="N72" i="62"/>
  <c r="O71" i="88"/>
  <c r="O72" i="93"/>
  <c r="D99" i="56"/>
  <c r="H13" i="31"/>
  <c r="J66" i="73"/>
  <c r="N56" i="37"/>
  <c r="D84" i="56"/>
  <c r="K93" i="63"/>
  <c r="I90"/>
  <c r="H108" i="58"/>
  <c r="N99" i="43"/>
  <c r="E107" i="28"/>
  <c r="K105" i="56"/>
  <c r="J90"/>
  <c r="F90" i="72"/>
  <c r="M66" i="93"/>
  <c r="H99" i="56"/>
  <c r="G93" i="40"/>
  <c r="D81" i="34"/>
  <c r="G66" i="45"/>
  <c r="E41" i="88"/>
  <c r="F80" i="37"/>
  <c r="H18" i="88"/>
  <c r="K87" i="59"/>
  <c r="J72" i="57"/>
  <c r="L84" i="60"/>
  <c r="M93" i="26"/>
  <c r="G65" i="88"/>
  <c r="N102" i="25"/>
  <c r="H25" i="28"/>
  <c r="N72" i="49"/>
  <c r="N99" i="73"/>
  <c r="D102" i="56"/>
  <c r="N102" i="47"/>
  <c r="E90" i="63"/>
  <c r="K66" i="92"/>
  <c r="K26" i="88"/>
  <c r="K72" i="39"/>
  <c r="N108" i="41"/>
  <c r="L93" i="58"/>
  <c r="J102" i="86"/>
  <c r="M73" i="88"/>
  <c r="M75" i="89"/>
  <c r="J99" i="84"/>
  <c r="I54" i="31"/>
  <c r="J87" i="82"/>
  <c r="L69" i="80"/>
  <c r="D87" i="65"/>
  <c r="E63" i="86"/>
  <c r="E99" i="93"/>
  <c r="I49" i="37"/>
  <c r="G63" i="73"/>
  <c r="G96" i="57"/>
  <c r="J92" i="88"/>
  <c r="M16" i="37"/>
  <c r="K24" i="31"/>
  <c r="N83"/>
  <c r="J66" i="49"/>
  <c r="J57" i="37"/>
  <c r="G81" i="72"/>
  <c r="F108" i="92"/>
  <c r="N61" i="88"/>
  <c r="N63" i="89"/>
  <c r="E90" i="83"/>
  <c r="G18" i="28"/>
  <c r="M21" i="37"/>
  <c r="N66" i="61"/>
  <c r="N75" i="67"/>
  <c r="O108" i="86"/>
  <c r="K15" i="88"/>
  <c r="I87" i="83"/>
  <c r="L29" i="88"/>
  <c r="K99" i="59"/>
  <c r="H87" i="53"/>
  <c r="M99" i="65"/>
  <c r="G101" i="31"/>
  <c r="F84" i="76"/>
  <c r="J93" i="68"/>
  <c r="E108" i="55"/>
  <c r="L47" i="31"/>
  <c r="H108" i="86"/>
  <c r="L69" i="27"/>
  <c r="I58" i="88"/>
  <c r="G71" i="37"/>
  <c r="F75" i="53"/>
  <c r="G18" i="88"/>
  <c r="L105" i="43"/>
  <c r="J42" i="88"/>
  <c r="L47" i="28"/>
  <c r="I90" i="78"/>
  <c r="N41" i="31"/>
  <c r="O80" i="37"/>
  <c r="H102" i="90"/>
  <c r="M108" i="66"/>
  <c r="J90" i="36"/>
  <c r="F95" i="88"/>
  <c r="F12" i="31"/>
  <c r="F96" i="43"/>
  <c r="E66" i="80"/>
  <c r="O66" i="69"/>
  <c r="N31" i="37"/>
  <c r="M99" i="76"/>
  <c r="I78" i="62"/>
  <c r="L81" i="43"/>
  <c r="K96" i="57"/>
  <c r="H51" i="37"/>
  <c r="E78" i="34"/>
  <c r="L17" i="37"/>
  <c r="N6"/>
  <c r="O31" i="28"/>
  <c r="I20" i="31"/>
  <c r="N72" i="90"/>
  <c r="K105" i="60"/>
  <c r="K72" i="84"/>
  <c r="N93" i="70"/>
  <c r="G99" i="57"/>
  <c r="G44" i="28"/>
  <c r="G75" i="33"/>
  <c r="J108" i="58"/>
  <c r="F99" i="93"/>
  <c r="E99" i="30"/>
  <c r="O90" i="69"/>
  <c r="H62" i="88"/>
  <c r="J96" i="47"/>
  <c r="O63" i="56"/>
  <c r="H63" i="83"/>
  <c r="H72" i="77"/>
  <c r="M50" i="37"/>
  <c r="F78" i="70"/>
  <c r="O66" i="47"/>
  <c r="H33" i="28"/>
  <c r="N95" i="37"/>
  <c r="J20" i="28"/>
  <c r="F72" i="30"/>
  <c r="G26" i="31"/>
  <c r="F90" i="30"/>
  <c r="N99" i="69"/>
  <c r="H96" i="46"/>
  <c r="F102" i="66"/>
  <c r="E105" i="79"/>
  <c r="L69" i="62"/>
  <c r="D18" i="31"/>
  <c r="K89" i="28"/>
  <c r="E72" i="66"/>
  <c r="K63" i="75"/>
  <c r="D72" i="91"/>
  <c r="H96" i="27"/>
  <c r="E86" i="88"/>
  <c r="L75" i="35"/>
  <c r="O108" i="56"/>
  <c r="N69" i="51"/>
  <c r="G66" i="72"/>
  <c r="D80" i="28"/>
  <c r="L87" i="32"/>
  <c r="L85" i="31"/>
  <c r="K72" i="29"/>
  <c r="K70" i="28"/>
  <c r="K63" i="66"/>
  <c r="N104" i="31"/>
  <c r="I87" i="81"/>
  <c r="J105" i="54"/>
  <c r="H99" i="53"/>
  <c r="D90" i="73"/>
  <c r="O98" i="88"/>
  <c r="O99" s="1"/>
  <c r="N75" i="49"/>
  <c r="G84" i="29"/>
  <c r="G82" i="28"/>
  <c r="O105" i="65"/>
  <c r="N84" i="71"/>
  <c r="I90" i="39"/>
  <c r="M93" i="84"/>
  <c r="G38" i="28"/>
  <c r="G36" i="31"/>
  <c r="L81" i="72"/>
  <c r="D78" i="56"/>
  <c r="F81" i="50"/>
  <c r="D66" i="62"/>
  <c r="L84" i="26"/>
  <c r="M50" i="31"/>
  <c r="M43" i="88"/>
  <c r="I102" i="53"/>
  <c r="I69" i="56"/>
  <c r="I87" i="90"/>
  <c r="L96" i="57"/>
  <c r="J105" i="62"/>
  <c r="O75" i="49"/>
  <c r="I81" i="78"/>
  <c r="O87" i="38"/>
  <c r="O85" i="37"/>
  <c r="E55"/>
  <c r="I96" i="71"/>
  <c r="O108" i="57"/>
  <c r="I48" i="37"/>
  <c r="E108" i="75"/>
  <c r="L35" i="28"/>
  <c r="F84" i="44"/>
  <c r="E20" i="88"/>
  <c r="D96" i="50"/>
  <c r="O72" i="76"/>
  <c r="I69" i="25"/>
  <c r="I72" i="50"/>
  <c r="K66" i="83"/>
  <c r="H81" i="42"/>
  <c r="M81" i="92"/>
  <c r="J7" i="31"/>
  <c r="J77" i="28"/>
  <c r="L66" i="93"/>
  <c r="G84" i="61"/>
  <c r="N78" i="69"/>
  <c r="O72" i="27"/>
  <c r="O90" i="25"/>
  <c r="E87" i="90"/>
  <c r="L53" i="37"/>
  <c r="K93" i="92"/>
  <c r="H58" i="88"/>
  <c r="N75" i="83"/>
  <c r="K105" i="62"/>
  <c r="H102" i="38"/>
  <c r="H100" i="37"/>
  <c r="N102" i="45"/>
  <c r="L90" i="93"/>
  <c r="J35" i="88"/>
  <c r="D93" i="45"/>
  <c r="F81" i="64"/>
  <c r="H96" i="94"/>
  <c r="D81" i="82"/>
  <c r="N69" i="61"/>
  <c r="N78" i="80"/>
  <c r="G55" i="88"/>
  <c r="D72" i="51"/>
  <c r="H72" i="89"/>
  <c r="H70" i="88"/>
  <c r="J66" i="66"/>
  <c r="O78" i="53"/>
  <c r="N52" i="28"/>
  <c r="I69" i="85"/>
  <c r="F99" i="81"/>
  <c r="J99" i="83"/>
  <c r="L87" i="63"/>
  <c r="O84" i="69"/>
  <c r="H63" i="30"/>
  <c r="D75" i="59"/>
  <c r="D93" i="84"/>
  <c r="CL118" i="3"/>
  <c r="F92" i="31"/>
  <c r="M102" i="80"/>
  <c r="O19" i="31"/>
  <c r="I84" i="52"/>
  <c r="G78" i="90"/>
  <c r="H105" i="86"/>
  <c r="G84" i="60"/>
  <c r="I47" i="88"/>
  <c r="G96" i="81"/>
  <c r="L90" i="58"/>
  <c r="H99" i="26"/>
  <c r="D4" i="88"/>
  <c r="J104" i="37"/>
  <c r="J87" i="87"/>
  <c r="F75" i="57"/>
  <c r="N99" i="26"/>
  <c r="M102" i="87"/>
  <c r="H69" i="89"/>
  <c r="H67" i="88"/>
  <c r="F75" i="25"/>
  <c r="E69" i="36"/>
  <c r="J72" i="60"/>
  <c r="G99" i="69"/>
  <c r="L66" i="29"/>
  <c r="L64" i="28"/>
  <c r="E78" i="52"/>
  <c r="D84" i="51"/>
  <c r="G99" i="77"/>
  <c r="L66" i="62"/>
  <c r="G96" i="80"/>
  <c r="J78" i="59"/>
  <c r="H48" i="28"/>
  <c r="M69" i="33"/>
  <c r="D102" i="75"/>
  <c r="F72" i="83"/>
  <c r="H84" i="55"/>
  <c r="F96" i="74"/>
  <c r="O90" i="86"/>
  <c r="E69" i="79"/>
  <c r="G87" i="46"/>
  <c r="K10" i="88"/>
  <c r="O105" i="53"/>
  <c r="D12" i="28"/>
  <c r="M75" i="32"/>
  <c r="M73" i="31"/>
  <c r="K49" i="88"/>
  <c r="L75" i="57"/>
  <c r="G105" i="42"/>
  <c r="J102" i="93"/>
  <c r="D102" i="62"/>
  <c r="F93" i="27"/>
  <c r="D10" i="28"/>
  <c r="K99" i="57"/>
  <c r="H72" i="72"/>
  <c r="M75" i="59"/>
  <c r="H63" i="41"/>
  <c r="M81" i="78"/>
  <c r="E105" i="62"/>
  <c r="D63" i="64"/>
  <c r="I72" i="79"/>
  <c r="G78" i="48"/>
  <c r="F26" i="31"/>
  <c r="N105" i="53"/>
  <c r="L63" i="65"/>
  <c r="L93" i="77"/>
  <c r="O104" i="37"/>
  <c r="G105" i="78"/>
  <c r="G28" i="28"/>
  <c r="J75" i="89"/>
  <c r="J73" i="88"/>
  <c r="E108" i="43"/>
  <c r="D78" i="49"/>
  <c r="G93" i="76"/>
  <c r="F84" i="69"/>
  <c r="J69" i="74"/>
  <c r="G105" i="82"/>
  <c r="I81" i="67"/>
  <c r="N81" i="70"/>
  <c r="H102" i="66"/>
  <c r="E93"/>
  <c r="M84" i="84"/>
  <c r="D66" i="92"/>
  <c r="O102" i="51"/>
  <c r="L33" i="88"/>
  <c r="L93" i="73"/>
  <c r="F19" i="88"/>
  <c r="I93" i="55"/>
  <c r="G87" i="92"/>
  <c r="F96" i="72"/>
  <c r="G102" i="86"/>
  <c r="O90" i="53"/>
  <c r="G66" i="62"/>
  <c r="E63" i="53"/>
  <c r="E50" i="28"/>
  <c r="O49"/>
  <c r="M84" i="51"/>
  <c r="F87" i="94"/>
  <c r="M97" i="88"/>
  <c r="M99" s="1"/>
  <c r="M99" i="89"/>
  <c r="M93" i="80"/>
  <c r="J96" i="86"/>
  <c r="E96" i="83"/>
  <c r="J95" i="88"/>
  <c r="M81" i="60"/>
  <c r="E69" i="74"/>
  <c r="O65" i="28"/>
  <c r="F50" i="31"/>
  <c r="F81" i="72"/>
  <c r="I72" i="52"/>
  <c r="H108" i="41"/>
  <c r="D90" i="83"/>
  <c r="M99" i="33"/>
  <c r="H69" i="77"/>
  <c r="F87" i="92"/>
  <c r="L78" i="26"/>
  <c r="N92" i="37"/>
  <c r="I90" i="55"/>
  <c r="L99" i="76"/>
  <c r="H99" i="51"/>
  <c r="O66"/>
  <c r="N66" i="36"/>
  <c r="H26" i="37"/>
  <c r="N105" i="63"/>
  <c r="H66" i="27"/>
  <c r="L70" i="28"/>
  <c r="L72" i="29"/>
  <c r="N19" i="37"/>
  <c r="E78" i="78"/>
  <c r="F81" i="62"/>
  <c r="M90" i="92"/>
  <c r="D87" i="39"/>
  <c r="O81" i="25"/>
  <c r="K66" i="67"/>
  <c r="D28" i="28"/>
  <c r="M66" i="46"/>
  <c r="L90" i="81"/>
  <c r="L75" i="46"/>
  <c r="M78" i="69"/>
  <c r="H81" i="39"/>
  <c r="H28" i="31"/>
  <c r="K75" i="84"/>
  <c r="H87" i="51"/>
  <c r="D80" i="31"/>
  <c r="D99" i="73"/>
  <c r="M108" i="48"/>
  <c r="G105" i="53"/>
  <c r="H84" i="85"/>
  <c r="O12" i="37"/>
  <c r="I59" i="88"/>
  <c r="O30" i="28"/>
  <c r="G72" i="82"/>
  <c r="M102" i="60"/>
  <c r="D105" i="79"/>
  <c r="I70" i="28"/>
  <c r="I72" i="29"/>
  <c r="J72" i="54"/>
  <c r="H86" i="31"/>
  <c r="F102" i="35"/>
  <c r="F102" i="84"/>
  <c r="O72" i="65"/>
  <c r="M8" i="37"/>
  <c r="K93" i="49"/>
  <c r="I105" i="61"/>
  <c r="O103" i="88"/>
  <c r="O105" i="89"/>
  <c r="E90" i="47"/>
  <c r="O102" i="70"/>
  <c r="E66" i="86"/>
  <c r="K57" i="31"/>
  <c r="O99" i="57"/>
  <c r="L72" i="65"/>
  <c r="J84" i="34"/>
  <c r="G68" i="88"/>
  <c r="I46" i="37"/>
  <c r="M63" i="49"/>
  <c r="J93" i="38"/>
  <c r="J91" i="37"/>
  <c r="M66" i="82"/>
  <c r="E93" i="48"/>
  <c r="J108" i="86"/>
  <c r="F74" i="31"/>
  <c r="G35"/>
  <c r="D104"/>
  <c r="D105" s="1"/>
  <c r="I69" i="41"/>
  <c r="K90" i="92"/>
  <c r="N90" i="45"/>
  <c r="H63" i="68"/>
  <c r="O40" i="37"/>
  <c r="D90" i="90"/>
  <c r="E62" i="28"/>
  <c r="M108" i="82"/>
  <c r="F108" i="55"/>
  <c r="J67" i="88"/>
  <c r="J69" i="89"/>
  <c r="J11" i="88"/>
  <c r="M80" i="31"/>
  <c r="L108" i="48"/>
  <c r="H72" i="76"/>
  <c r="D81" i="19"/>
  <c r="N9" i="37"/>
  <c r="O81" i="38"/>
  <c r="O79" i="37"/>
  <c r="F69" i="35"/>
  <c r="H75" i="32"/>
  <c r="H73" i="31"/>
  <c r="I53" i="37"/>
  <c r="I83" i="28"/>
  <c r="L108" i="90"/>
  <c r="G99" i="43"/>
  <c r="H20" i="88"/>
  <c r="M96" i="92"/>
  <c r="G80" i="88"/>
  <c r="D105" i="43"/>
  <c r="F81" i="49"/>
  <c r="J66" i="39"/>
  <c r="E96" i="70"/>
  <c r="M87" i="76"/>
  <c r="L99" i="90"/>
  <c r="I84" i="34"/>
  <c r="O63" i="73"/>
  <c r="D108" i="71"/>
  <c r="M99" i="39"/>
  <c r="M87"/>
  <c r="O63" i="83"/>
  <c r="M105" i="75"/>
  <c r="F105" i="55"/>
  <c r="I66" i="43"/>
  <c r="N81" i="64"/>
  <c r="E75" i="67"/>
  <c r="L90" i="51"/>
  <c r="N96" i="29"/>
  <c r="N94" i="28"/>
  <c r="G90" i="92"/>
  <c r="J66" i="46"/>
  <c r="H33" i="31"/>
  <c r="G75" i="70"/>
  <c r="K102" i="45"/>
  <c r="N96" i="59"/>
  <c r="F9" i="37"/>
  <c r="O8" i="31"/>
  <c r="K14" i="37"/>
  <c r="M99" i="48"/>
  <c r="D74" i="88"/>
  <c r="G84" i="50"/>
  <c r="I63" i="26"/>
  <c r="D72" i="64"/>
  <c r="J105" i="53"/>
  <c r="D66" i="36"/>
  <c r="G105" i="38"/>
  <c r="G103" i="37"/>
  <c r="G105" s="1"/>
  <c r="D72" i="34"/>
  <c r="D30" i="37"/>
  <c r="K27" i="28"/>
  <c r="I99" i="83"/>
  <c r="I75" i="69"/>
  <c r="H93" i="35"/>
  <c r="J99" i="57"/>
  <c r="L78" i="54"/>
  <c r="D72"/>
  <c r="E90" i="77"/>
  <c r="N69" i="74"/>
  <c r="J27" i="28"/>
  <c r="O69" i="84"/>
  <c r="J69" i="90"/>
  <c r="L84" i="32"/>
  <c r="L82" i="31"/>
  <c r="N84" i="70"/>
  <c r="I57" i="88"/>
  <c r="D90" i="76"/>
  <c r="G72" i="65"/>
  <c r="J78" i="54"/>
  <c r="E102" i="44"/>
  <c r="K87" i="35"/>
  <c r="M40" i="88"/>
  <c r="H105" i="62"/>
  <c r="D102" i="84"/>
  <c r="M93" i="57"/>
  <c r="H28" i="37"/>
  <c r="H90" i="73"/>
  <c r="L87" i="30"/>
  <c r="G90" i="94"/>
  <c r="K69" i="55"/>
  <c r="H63" i="75"/>
  <c r="D81" i="30"/>
  <c r="K108" i="68"/>
  <c r="H87" i="64"/>
  <c r="M105" i="51"/>
  <c r="J75" i="27"/>
  <c r="L76" i="31"/>
  <c r="L78" i="32"/>
  <c r="F99" i="69"/>
  <c r="H98" i="31"/>
  <c r="K78" i="93"/>
  <c r="F81" i="45"/>
  <c r="I105" i="40"/>
  <c r="L99" i="41"/>
  <c r="H77" i="31"/>
  <c r="M90" i="75"/>
  <c r="J56" i="37"/>
  <c r="I63" i="89"/>
  <c r="I61" i="88"/>
  <c r="N92"/>
  <c r="J41" i="37"/>
  <c r="D82" i="88"/>
  <c r="D84" i="89"/>
  <c r="D87" i="66"/>
  <c r="I78" i="82"/>
  <c r="F81" i="43"/>
  <c r="O8" i="28"/>
  <c r="J63" i="57"/>
  <c r="I69" i="69"/>
  <c r="N66" i="57"/>
  <c r="J62" i="37"/>
  <c r="K84" i="59"/>
  <c r="E72" i="74"/>
  <c r="N66" i="40"/>
  <c r="M78" i="47"/>
  <c r="N77" i="28"/>
  <c r="I84" i="33"/>
  <c r="I69" i="53"/>
  <c r="H105" i="91"/>
  <c r="E99" i="59"/>
  <c r="O4" i="31"/>
  <c r="O96" i="35"/>
  <c r="E66" i="91"/>
  <c r="O90" i="49"/>
  <c r="O78" i="92"/>
  <c r="I72" i="59"/>
  <c r="O102" i="58"/>
  <c r="G73" i="28"/>
  <c r="G75" i="29"/>
  <c r="E84" i="33"/>
  <c r="L72" i="80"/>
  <c r="N108" i="48"/>
  <c r="D92" i="28"/>
  <c r="N99" i="29"/>
  <c r="N97" i="28"/>
  <c r="D30"/>
  <c r="F58" i="88"/>
  <c r="I63" i="87"/>
  <c r="F63" i="76"/>
  <c r="G108" i="61"/>
  <c r="D93" i="25"/>
  <c r="L76" i="28"/>
  <c r="L78" i="29"/>
  <c r="I105" i="25"/>
  <c r="O105" i="80"/>
  <c r="J99" i="48"/>
  <c r="N96" i="87"/>
  <c r="D75" i="75"/>
  <c r="K89" i="31"/>
  <c r="M81" i="65"/>
  <c r="O105" i="78"/>
  <c r="J99" i="45"/>
  <c r="H105" i="25"/>
  <c r="F107" i="88"/>
  <c r="I84" i="82"/>
  <c r="L55" i="37"/>
  <c r="G102" i="40"/>
  <c r="N66" i="33"/>
  <c r="F69" i="61"/>
  <c r="J75" i="39"/>
  <c r="O92" i="37"/>
  <c r="O90" i="78"/>
  <c r="I39" i="31"/>
  <c r="N84" i="64"/>
  <c r="E78" i="65"/>
  <c r="E84" i="71"/>
  <c r="M55" i="37"/>
  <c r="M93" i="77"/>
  <c r="D72" i="92"/>
  <c r="O12" i="28"/>
  <c r="L108" i="70"/>
  <c r="O102" i="35"/>
  <c r="G105" i="69"/>
  <c r="H102" i="75"/>
  <c r="G105"/>
  <c r="D22" i="37"/>
  <c r="G81" i="45"/>
  <c r="J87" i="83"/>
  <c r="J69" i="40"/>
  <c r="I90" i="57"/>
  <c r="N57" i="31"/>
  <c r="F108" i="84"/>
  <c r="F93" i="49"/>
  <c r="H105" i="81"/>
  <c r="M58" i="88"/>
  <c r="I17" i="37"/>
  <c r="L93" i="59"/>
  <c r="G75" i="60"/>
  <c r="K102" i="74"/>
  <c r="G72" i="75"/>
  <c r="D99"/>
  <c r="L30" i="88"/>
  <c r="F87" i="71"/>
  <c r="D69" i="84"/>
  <c r="H66" i="69"/>
  <c r="F34" i="37"/>
  <c r="J108" i="67"/>
  <c r="O93" i="47"/>
  <c r="L90" i="34"/>
  <c r="I87" i="38"/>
  <c r="I85" i="37"/>
  <c r="G75" i="46"/>
  <c r="K69" i="94"/>
  <c r="I84" i="84"/>
  <c r="N67" i="31"/>
  <c r="N69" i="32"/>
  <c r="G69" i="52"/>
  <c r="M99" i="73"/>
  <c r="M87" i="92"/>
  <c r="N72" i="82"/>
  <c r="M88" i="31"/>
  <c r="M90" i="32"/>
  <c r="N98" i="31"/>
  <c r="G84" i="72"/>
  <c r="K4" i="37"/>
  <c r="D40"/>
  <c r="H81" i="53"/>
  <c r="I16" i="31"/>
  <c r="K87" i="82"/>
  <c r="D93" i="57"/>
  <c r="G102" i="73"/>
  <c r="D20" i="28"/>
  <c r="K48"/>
  <c r="G108" i="78"/>
  <c r="G108" i="69"/>
  <c r="L81" i="73"/>
  <c r="L84" i="75"/>
  <c r="I80" i="31"/>
  <c r="N81" i="81"/>
  <c r="E90" i="58"/>
  <c r="J82" i="31"/>
  <c r="J84" i="32"/>
  <c r="M51" i="88"/>
  <c r="N57"/>
  <c r="E75" i="70"/>
  <c r="K69" i="67"/>
  <c r="H84" i="57"/>
  <c r="G15" i="28"/>
  <c r="G69" i="62"/>
  <c r="D108" i="33"/>
  <c r="L88" i="88"/>
  <c r="L90" i="89"/>
  <c r="G59" i="88"/>
  <c r="E84" i="80"/>
  <c r="K51" i="31"/>
  <c r="I81" i="93"/>
  <c r="G63" i="92"/>
  <c r="G108" i="75"/>
  <c r="E87" i="27"/>
  <c r="J99" i="25"/>
  <c r="N81" i="77"/>
  <c r="K17" i="88"/>
  <c r="J69" i="84"/>
  <c r="I5" i="88"/>
  <c r="L102" i="36"/>
  <c r="D96" i="87"/>
  <c r="N84" i="41"/>
  <c r="H79" i="31"/>
  <c r="H81" s="1"/>
  <c r="H81" i="32"/>
  <c r="N87" i="48"/>
  <c r="H30" i="31"/>
  <c r="O75" i="63"/>
  <c r="K102" i="34"/>
  <c r="I15" i="31"/>
  <c r="I57" i="37"/>
  <c r="F35"/>
  <c r="H74" i="31"/>
  <c r="F66" i="48"/>
  <c r="N93" i="72"/>
  <c r="D105" i="35"/>
  <c r="F16" i="88"/>
  <c r="F87" i="75"/>
  <c r="O15" i="31"/>
  <c r="K108" i="74"/>
  <c r="D80" i="88"/>
  <c r="N63" i="41"/>
  <c r="M100" i="37"/>
  <c r="M102" i="38"/>
  <c r="N78" i="73"/>
  <c r="O87" i="74"/>
  <c r="F33" i="88"/>
  <c r="K96" i="66"/>
  <c r="J98" i="31"/>
  <c r="L69" i="87"/>
  <c r="I78" i="52"/>
  <c r="L93" i="55"/>
  <c r="I78" i="56"/>
  <c r="N45" i="28"/>
  <c r="L84" i="44"/>
  <c r="D84" i="25"/>
  <c r="E90" i="70"/>
  <c r="I78" i="63"/>
  <c r="D63" i="47"/>
  <c r="H78" i="77"/>
  <c r="D4" i="28"/>
  <c r="F36" i="88"/>
  <c r="I36" i="31"/>
  <c r="K100" i="88"/>
  <c r="K102" i="89"/>
  <c r="H63" i="70"/>
  <c r="H78" i="69"/>
  <c r="J66" i="72"/>
  <c r="F102" i="86"/>
  <c r="G102" i="91"/>
  <c r="E72" i="76"/>
  <c r="K78" i="19"/>
  <c r="O69" i="65"/>
  <c r="J87" i="57"/>
  <c r="G105" i="85"/>
  <c r="D87" i="58"/>
  <c r="J89" i="37"/>
  <c r="D105" i="73"/>
  <c r="D38" i="37"/>
  <c r="J93" i="39"/>
  <c r="I16" i="28"/>
  <c r="I87" i="57"/>
  <c r="G72" i="34"/>
  <c r="G108" i="52"/>
  <c r="D108" i="86"/>
  <c r="M90" i="90"/>
  <c r="N87" i="71"/>
  <c r="G63" i="66"/>
  <c r="L69" i="19"/>
  <c r="G69" i="58"/>
  <c r="O87" i="63"/>
  <c r="M46" i="31"/>
  <c r="O78" i="77"/>
  <c r="I93" i="62"/>
  <c r="L81" i="27"/>
  <c r="O90" i="54"/>
  <c r="J96" i="35"/>
  <c r="M102" i="36"/>
  <c r="L75" i="60"/>
  <c r="E66" i="48"/>
  <c r="F72" i="50"/>
  <c r="N19" i="28"/>
  <c r="L93" i="64"/>
  <c r="I81" i="43"/>
  <c r="M81" i="70"/>
  <c r="D34" i="88"/>
  <c r="I78" i="76"/>
  <c r="D77" i="88"/>
  <c r="I102" i="60"/>
  <c r="D84" i="84"/>
  <c r="M72" i="39"/>
  <c r="H75" i="26"/>
  <c r="N96" i="35"/>
  <c r="L71" i="28"/>
  <c r="J14" i="88"/>
  <c r="G75" i="54"/>
  <c r="N108" i="60"/>
  <c r="L72" i="38"/>
  <c r="L70" i="37"/>
  <c r="L92"/>
  <c r="E90" i="67"/>
  <c r="E84" i="56"/>
  <c r="K43" i="88"/>
  <c r="N87" i="90"/>
  <c r="O83" i="88"/>
  <c r="J104" i="31"/>
  <c r="D63" i="73"/>
  <c r="H72" i="63"/>
  <c r="E63" i="29"/>
  <c r="E61" i="28"/>
  <c r="E63" s="1"/>
  <c r="I105" i="73"/>
  <c r="G84" i="75"/>
  <c r="O90" i="90"/>
  <c r="N105" i="40"/>
  <c r="O108" i="61"/>
  <c r="K29" i="31"/>
  <c r="F90" i="35"/>
  <c r="M63" i="51"/>
  <c r="F63" i="72"/>
  <c r="G63" i="53"/>
  <c r="J72" i="51"/>
  <c r="J93" i="40"/>
  <c r="D81" i="45"/>
  <c r="M72" i="43"/>
  <c r="E63" i="38"/>
  <c r="E61" i="37"/>
  <c r="M83" i="28"/>
  <c r="F107" i="37"/>
  <c r="M79" i="88"/>
  <c r="M81" i="89"/>
  <c r="K53" i="37"/>
  <c r="J14" i="28"/>
  <c r="N45" i="88"/>
  <c r="F75" i="19"/>
  <c r="G34" i="37"/>
  <c r="G102" i="78"/>
  <c r="E90" i="26"/>
  <c r="H96" i="80"/>
  <c r="D63" i="54"/>
  <c r="F104" i="28"/>
  <c r="E98" i="88"/>
  <c r="O86" i="28"/>
  <c r="G28" i="37"/>
  <c r="K72" i="32"/>
  <c r="K70" i="31"/>
  <c r="O78" i="34"/>
  <c r="G32" i="31"/>
  <c r="L93" i="53"/>
  <c r="F93" i="19"/>
  <c r="H81" i="40"/>
  <c r="E72" i="62"/>
  <c r="O96" i="81"/>
  <c r="O72" i="19"/>
  <c r="N105" i="27"/>
  <c r="H69" i="69"/>
  <c r="I84" i="48"/>
  <c r="N96" i="57"/>
  <c r="H96" i="50"/>
  <c r="N78" i="89"/>
  <c r="N76" i="88"/>
  <c r="N78" s="1"/>
  <c r="F84" i="48"/>
  <c r="F63" i="61"/>
  <c r="I66" i="80"/>
  <c r="M105" i="55"/>
  <c r="D90" i="46"/>
  <c r="E84" i="83"/>
  <c r="H68" i="28"/>
  <c r="O90" i="58"/>
  <c r="H81" i="54"/>
  <c r="E26" i="37"/>
  <c r="E90" i="73"/>
  <c r="F81" i="80"/>
  <c r="F78" i="55"/>
  <c r="O66" i="29"/>
  <c r="O64" i="28"/>
  <c r="M78" i="29"/>
  <c r="M76" i="28"/>
  <c r="M76" i="24" s="1"/>
  <c r="M90" i="84"/>
  <c r="N66" i="51"/>
  <c r="F28" i="28"/>
  <c r="H39" i="88"/>
  <c r="K70" i="37"/>
  <c r="K72" i="38"/>
  <c r="G87" i="79"/>
  <c r="M66" i="64"/>
  <c r="J84" i="72"/>
  <c r="K64" i="28"/>
  <c r="K66" i="29"/>
  <c r="N69" i="75"/>
  <c r="O17" i="28"/>
  <c r="N27"/>
  <c r="F72" i="70"/>
  <c r="O62" i="37"/>
  <c r="J99" i="76"/>
  <c r="O66" i="26"/>
  <c r="J48" i="88"/>
  <c r="H48"/>
  <c r="D78" i="52"/>
  <c r="N87" i="62"/>
  <c r="M72" i="40"/>
  <c r="D105" i="55"/>
  <c r="I93" i="69"/>
  <c r="G80" i="28"/>
  <c r="I108" i="45"/>
  <c r="H61" i="88"/>
  <c r="H63" i="89"/>
  <c r="G45" i="31"/>
  <c r="I66" i="68"/>
  <c r="M63" i="75"/>
  <c r="N96" i="45"/>
  <c r="M72" i="73"/>
  <c r="I93" i="94"/>
  <c r="N72" i="63"/>
  <c r="K26" i="31"/>
  <c r="E84" i="85"/>
  <c r="N78" i="81"/>
  <c r="M93"/>
  <c r="I69" i="40"/>
  <c r="D72" i="35"/>
  <c r="H75" i="25"/>
  <c r="O69" i="68"/>
  <c r="H84" i="90"/>
  <c r="H52" i="37"/>
  <c r="O56" i="88"/>
  <c r="J102" i="92"/>
  <c r="G78" i="87"/>
  <c r="H19" i="28"/>
  <c r="H104" i="88"/>
  <c r="K93" i="30"/>
  <c r="J78" i="69"/>
  <c r="L102" i="71"/>
  <c r="H87" i="72"/>
  <c r="J108" i="71"/>
  <c r="F102" i="91"/>
  <c r="O69" i="51"/>
  <c r="O90" i="35"/>
  <c r="J90" i="71"/>
  <c r="E108" i="41"/>
  <c r="L108" i="59"/>
  <c r="D40" i="28"/>
  <c r="D75" i="93"/>
  <c r="M78" i="94"/>
  <c r="H105" i="33"/>
  <c r="G73" i="31"/>
  <c r="G75" i="32"/>
  <c r="H87" i="70"/>
  <c r="M4" i="31"/>
  <c r="E105" i="57"/>
  <c r="K102" i="30"/>
  <c r="D108" i="90"/>
  <c r="G56" i="37"/>
  <c r="G75" i="58"/>
  <c r="N105" i="74"/>
  <c r="D90" i="27"/>
  <c r="G90" i="30"/>
  <c r="G90" i="63"/>
  <c r="M90" i="53"/>
  <c r="E63" i="69"/>
  <c r="K75" i="59"/>
  <c r="D102"/>
  <c r="K75" i="94"/>
  <c r="K75" i="78"/>
  <c r="H102" i="49"/>
  <c r="J18" i="28"/>
  <c r="I98" i="88"/>
  <c r="O102" i="83"/>
  <c r="N72" i="68"/>
  <c r="H78" i="30"/>
  <c r="H107" i="88"/>
  <c r="H75" i="79"/>
  <c r="N53" i="31"/>
  <c r="G69" i="81"/>
  <c r="H38" i="31"/>
  <c r="K99" i="30"/>
  <c r="F93" i="62"/>
  <c r="I11" i="31"/>
  <c r="N81" i="29"/>
  <c r="N79" i="28"/>
  <c r="M69" i="43"/>
  <c r="E65" i="28"/>
  <c r="E65" i="24" s="1"/>
  <c r="L32" i="37"/>
  <c r="G4" i="28"/>
  <c r="D69" i="42"/>
  <c r="I75" i="45"/>
  <c r="K73" i="31"/>
  <c r="K75" i="32"/>
  <c r="N88" i="37"/>
  <c r="N90" i="38"/>
  <c r="O42" i="31"/>
  <c r="G96" i="35"/>
  <c r="K75" i="60"/>
  <c r="N81" i="86"/>
  <c r="F84" i="87"/>
  <c r="E96" i="60"/>
  <c r="N108" i="58"/>
  <c r="N99" i="60"/>
  <c r="J93" i="64"/>
  <c r="I84" i="35"/>
  <c r="E9" i="28"/>
  <c r="D105" i="25"/>
  <c r="K78" i="48"/>
  <c r="F78" i="59"/>
  <c r="M102" i="45"/>
  <c r="L6" i="28"/>
  <c r="F66" i="51"/>
  <c r="H81"/>
  <c r="I81" i="50"/>
  <c r="I63" i="25"/>
  <c r="J66" i="55"/>
  <c r="I66" i="79"/>
  <c r="N93" i="68"/>
  <c r="O108" i="66"/>
  <c r="O77" i="88"/>
  <c r="J78" i="58"/>
  <c r="N35" i="88"/>
  <c r="J69" i="25"/>
  <c r="G75" i="48"/>
  <c r="D84" i="67"/>
  <c r="G23" i="88"/>
  <c r="L66" i="75"/>
  <c r="M102" i="51"/>
  <c r="E13" i="28"/>
  <c r="D75" i="27"/>
  <c r="J72" i="26"/>
  <c r="H69" i="38"/>
  <c r="H67" i="37"/>
  <c r="N102" i="58"/>
  <c r="D101" i="88"/>
  <c r="D84" i="49"/>
  <c r="E90" i="65"/>
  <c r="D64" i="88"/>
  <c r="D66" s="1"/>
  <c r="D66" i="89"/>
  <c r="F90" i="91"/>
  <c r="J108" i="61"/>
  <c r="M13" i="88"/>
  <c r="F87" i="67"/>
  <c r="I69" i="66"/>
  <c r="I72" i="63"/>
  <c r="G90" i="66"/>
  <c r="D24" i="88"/>
  <c r="J87" i="77"/>
  <c r="I34" i="31"/>
  <c r="I14" i="37"/>
  <c r="N80" i="31"/>
  <c r="N40" i="28"/>
  <c r="H105" i="83"/>
  <c r="J63" i="43"/>
  <c r="N81" i="35"/>
  <c r="D66" i="87"/>
  <c r="H84" i="40"/>
  <c r="M49" i="88"/>
  <c r="G87" i="55"/>
  <c r="H12" i="28"/>
  <c r="D102" i="44"/>
  <c r="L72" i="76"/>
  <c r="G18" i="31"/>
  <c r="L72" i="73"/>
  <c r="O63" i="87"/>
  <c r="E96" i="36"/>
  <c r="K90" i="68"/>
  <c r="G84" i="57"/>
  <c r="K63" i="81"/>
  <c r="E63" i="52"/>
  <c r="L5" i="28"/>
  <c r="E63" i="80"/>
  <c r="J87" i="61"/>
  <c r="M63" i="82"/>
  <c r="H81" i="50"/>
  <c r="E63" i="40"/>
  <c r="E5" i="28"/>
  <c r="E27" i="37"/>
  <c r="D37"/>
  <c r="M102" i="75"/>
  <c r="G87" i="93"/>
  <c r="G75" i="67"/>
  <c r="F96" i="59"/>
  <c r="L20" i="31"/>
  <c r="N46" i="28"/>
  <c r="I63" i="81"/>
  <c r="L81"/>
  <c r="E84" i="60"/>
  <c r="N90" i="30"/>
  <c r="O108" i="54"/>
  <c r="L90" i="41"/>
  <c r="N99" i="55"/>
  <c r="D99" i="91"/>
  <c r="E104" i="88"/>
  <c r="L108" i="45"/>
  <c r="E63" i="59"/>
  <c r="M43" i="37"/>
  <c r="G99" i="61"/>
  <c r="G72" i="93"/>
  <c r="E84" i="34"/>
  <c r="F99" i="46"/>
  <c r="K96" i="39"/>
  <c r="J7" i="88"/>
  <c r="H108" i="73"/>
  <c r="N105" i="71"/>
  <c r="E84" i="46"/>
  <c r="K81" i="91"/>
  <c r="G102" i="50"/>
  <c r="J61" i="88"/>
  <c r="J63" i="89"/>
  <c r="O101" i="37"/>
  <c r="K62"/>
  <c r="N36" i="88"/>
  <c r="J48" i="37"/>
  <c r="H99" i="90"/>
  <c r="O105" i="58"/>
  <c r="L105" i="46"/>
  <c r="K93" i="91"/>
  <c r="L78" i="39"/>
  <c r="O66" i="25"/>
  <c r="E46" i="28"/>
  <c r="E84" i="62"/>
  <c r="M45" i="88"/>
  <c r="H81" i="70"/>
  <c r="M30" i="88"/>
  <c r="G84" i="80"/>
  <c r="F93" i="84"/>
  <c r="J78" i="74"/>
  <c r="L84" i="55"/>
  <c r="F62" i="28"/>
  <c r="H63" i="71"/>
  <c r="G66" i="25"/>
  <c r="J102" i="64"/>
  <c r="G90" i="19"/>
  <c r="H44" i="88"/>
  <c r="H66" i="67"/>
  <c r="F72" i="49"/>
  <c r="K63" i="78"/>
  <c r="F76" i="28"/>
  <c r="F78" i="29"/>
  <c r="I38" i="37"/>
  <c r="K87" i="65"/>
  <c r="G57" i="28"/>
  <c r="O93" i="36"/>
  <c r="K58" i="28"/>
  <c r="H96" i="48"/>
  <c r="K96"/>
  <c r="J66" i="27"/>
  <c r="M26" i="28"/>
  <c r="N62"/>
  <c r="K38" i="37"/>
  <c r="I30"/>
  <c r="G108" i="49"/>
  <c r="D105" i="51"/>
  <c r="L99" i="46"/>
  <c r="E84" i="26"/>
  <c r="O81" i="73"/>
  <c r="D78" i="89"/>
  <c r="D76" i="88"/>
  <c r="D78" s="1"/>
  <c r="O81" i="86"/>
  <c r="D99" i="72"/>
  <c r="M84" i="56"/>
  <c r="F75" i="49"/>
  <c r="K81" i="35"/>
  <c r="F101" i="88"/>
  <c r="I96" i="78"/>
  <c r="F84" i="39"/>
  <c r="L90" i="69"/>
  <c r="I84" i="65"/>
  <c r="J5" i="37"/>
  <c r="I99" i="47"/>
  <c r="N72" i="44"/>
  <c r="G37" i="28"/>
  <c r="D87" i="79"/>
  <c r="I63"/>
  <c r="I99" i="61"/>
  <c r="K96" i="29"/>
  <c r="K94" i="28"/>
  <c r="J99" i="49"/>
  <c r="D99" i="84"/>
  <c r="H96" i="65"/>
  <c r="H15" i="31"/>
  <c r="G99" i="25"/>
  <c r="F90" i="86"/>
  <c r="D11" i="28"/>
  <c r="N102" i="77"/>
  <c r="H90" i="83"/>
  <c r="D69" i="58"/>
  <c r="F90" i="67"/>
  <c r="M48" i="37"/>
  <c r="O72" i="58"/>
  <c r="O97" i="31"/>
  <c r="O99" i="32"/>
  <c r="M78" i="51"/>
  <c r="D102" i="25"/>
  <c r="G63" i="71"/>
  <c r="O72" i="70"/>
  <c r="G84" i="49"/>
  <c r="O81" i="51"/>
  <c r="K93" i="26"/>
  <c r="K77" i="28"/>
  <c r="F105" i="39"/>
  <c r="M84" i="89"/>
  <c r="M82" i="88"/>
  <c r="M69" i="90"/>
  <c r="G5" i="37"/>
  <c r="O81" i="67"/>
  <c r="D93" i="83"/>
  <c r="M77" i="37"/>
  <c r="M78" s="1"/>
  <c r="H93" i="67"/>
  <c r="O99" i="54"/>
  <c r="M63" i="53"/>
  <c r="D66" i="65"/>
  <c r="G72" i="70"/>
  <c r="F105" i="50"/>
  <c r="I92" i="28"/>
  <c r="I18" i="37"/>
  <c r="G72" i="87"/>
  <c r="E99" i="55"/>
  <c r="J99" i="50"/>
  <c r="D43" i="88"/>
  <c r="G75" i="34"/>
  <c r="M99" i="86"/>
  <c r="K69" i="35"/>
  <c r="F90" i="77"/>
  <c r="F84" i="34"/>
  <c r="L96" i="94"/>
  <c r="G67" i="28"/>
  <c r="G69" i="29"/>
  <c r="I90" i="44"/>
  <c r="K78" i="73"/>
  <c r="K93" i="64"/>
  <c r="H87" i="36"/>
  <c r="K84" i="27"/>
  <c r="N90" i="55"/>
  <c r="H90" i="70"/>
  <c r="J74" i="31"/>
  <c r="F86" i="88"/>
  <c r="F19" i="28"/>
  <c r="O78" i="43"/>
  <c r="G105" i="51"/>
  <c r="I75" i="53"/>
  <c r="K81" i="82"/>
  <c r="J63" i="84"/>
  <c r="F66" i="93"/>
  <c r="G93" i="83"/>
  <c r="N39" i="31"/>
  <c r="E75" i="81"/>
  <c r="E72" i="34"/>
  <c r="L72" i="81"/>
  <c r="L63" i="49"/>
  <c r="I89" i="31"/>
  <c r="O96" i="69"/>
  <c r="J96" i="73"/>
  <c r="M75" i="86"/>
  <c r="G47" i="88"/>
  <c r="I99" i="62"/>
  <c r="L81" i="55"/>
  <c r="I81" i="29"/>
  <c r="I79" i="28"/>
  <c r="G105" i="87"/>
  <c r="D14" i="28"/>
  <c r="G93" i="64"/>
  <c r="H7" i="31"/>
  <c r="G90" i="80"/>
  <c r="F57" i="31"/>
  <c r="L81" i="44"/>
  <c r="L55" i="28"/>
  <c r="G108" i="74"/>
  <c r="O58" i="28"/>
  <c r="K108" i="81"/>
  <c r="E80" i="37"/>
  <c r="E80" i="24" s="1"/>
  <c r="L63" i="35"/>
  <c r="E78" i="77"/>
  <c r="J17" i="28"/>
  <c r="G99" i="63"/>
  <c r="N108" i="49"/>
  <c r="E107" i="88"/>
  <c r="J49" i="37"/>
  <c r="D71"/>
  <c r="I90" i="41"/>
  <c r="M78" i="68"/>
  <c r="J61" i="37"/>
  <c r="J63" i="38"/>
  <c r="D47" i="88"/>
  <c r="K53"/>
  <c r="L96" i="56"/>
  <c r="E93" i="82"/>
  <c r="H63" i="54"/>
  <c r="M96" i="94"/>
  <c r="G72" i="55"/>
  <c r="N63" i="70"/>
  <c r="I92" i="88"/>
  <c r="L96" i="70"/>
  <c r="J63" i="40"/>
  <c r="H93" i="57"/>
  <c r="N69"/>
  <c r="D63" i="84"/>
  <c r="J8" i="31"/>
  <c r="D39"/>
  <c r="K84" i="81"/>
  <c r="M93" i="41"/>
  <c r="H105"/>
  <c r="I87" i="84"/>
  <c r="J78" i="35"/>
  <c r="E99" i="60"/>
  <c r="K87" i="30"/>
  <c r="I90" i="80"/>
  <c r="N90" i="72"/>
  <c r="J78" i="39"/>
  <c r="I66" i="60"/>
  <c r="F62" i="37"/>
  <c r="G81" i="67"/>
  <c r="J84" i="61"/>
  <c r="H108" i="59"/>
  <c r="D63" i="81"/>
  <c r="N84" i="69"/>
  <c r="H99" i="35"/>
  <c r="G9" i="88"/>
  <c r="E81" i="33"/>
  <c r="F90" i="69"/>
  <c r="K84" i="91"/>
  <c r="I102" i="78"/>
  <c r="O78" i="68"/>
  <c r="K78" i="35"/>
  <c r="F69" i="48"/>
  <c r="F87" i="60"/>
  <c r="K13" i="31"/>
  <c r="H90" i="19"/>
  <c r="L101" i="88"/>
  <c r="K102" i="47"/>
  <c r="E105" i="92"/>
  <c r="J99" i="61"/>
  <c r="L96" i="43"/>
  <c r="G105" i="25"/>
  <c r="K69" i="81"/>
  <c r="D103" i="37"/>
  <c r="D105" i="38"/>
  <c r="L15" i="88"/>
  <c r="O38"/>
  <c r="M99" i="40"/>
  <c r="O96" i="60"/>
  <c r="F108" i="94"/>
  <c r="I5" i="37"/>
  <c r="G72" i="51"/>
  <c r="F11" i="31"/>
  <c r="F66" i="53"/>
  <c r="O66" i="61"/>
  <c r="M37" i="37"/>
  <c r="L90" i="27"/>
  <c r="M66" i="65"/>
  <c r="H78" i="38"/>
  <c r="H76" i="37"/>
  <c r="H78" s="1"/>
  <c r="G102" i="48"/>
  <c r="D105" i="52"/>
  <c r="I102" i="68"/>
  <c r="I81" i="27"/>
  <c r="E6" i="88"/>
  <c r="F66" i="30"/>
  <c r="I30" i="88"/>
  <c r="M63" i="84"/>
  <c r="G98" i="31"/>
  <c r="D92"/>
  <c r="J75" i="33"/>
  <c r="L63" i="93"/>
  <c r="O75" i="46"/>
  <c r="F93" i="81"/>
  <c r="D75" i="94"/>
  <c r="K10" i="31"/>
  <c r="D75" i="51"/>
  <c r="G102" i="76"/>
  <c r="O69" i="81"/>
  <c r="D90" i="68"/>
  <c r="F69" i="53"/>
  <c r="J87" i="60"/>
  <c r="H93" i="26"/>
  <c r="G84" i="25"/>
  <c r="D8" i="31"/>
  <c r="E93" i="41"/>
  <c r="J84" i="49"/>
  <c r="I90" i="89"/>
  <c r="I88" i="88"/>
  <c r="D72" i="43"/>
  <c r="J108" i="57"/>
  <c r="E99" i="92"/>
  <c r="D84" i="85"/>
  <c r="O87" i="40"/>
  <c r="H27" i="37"/>
  <c r="I102" i="73"/>
  <c r="I105" i="70"/>
  <c r="G68" i="28"/>
  <c r="G68" i="24" s="1"/>
  <c r="O99" i="60"/>
  <c r="N10" i="37"/>
  <c r="H75" i="54"/>
  <c r="K62" i="28"/>
  <c r="F96" i="36"/>
  <c r="F93" i="92"/>
  <c r="N66" i="77"/>
  <c r="O75" i="35"/>
  <c r="H105" i="74"/>
  <c r="F66" i="57"/>
  <c r="F72" i="53"/>
  <c r="J102" i="30"/>
  <c r="J6" i="37"/>
  <c r="N78" i="19"/>
  <c r="E24" i="88"/>
  <c r="G78" i="92"/>
  <c r="K102" i="57"/>
  <c r="J72" i="84"/>
  <c r="D75" i="85"/>
  <c r="J87" i="43"/>
  <c r="I81" i="82"/>
  <c r="E66" i="94"/>
  <c r="F108" i="62"/>
  <c r="J69" i="44"/>
  <c r="H102" i="55"/>
  <c r="J75" i="57"/>
  <c r="D69" i="75"/>
  <c r="O96" i="53"/>
  <c r="M62" i="88"/>
  <c r="E16" i="31"/>
  <c r="E99" i="69"/>
  <c r="I66" i="44"/>
  <c r="F81" i="35"/>
  <c r="D81" i="52"/>
  <c r="I99" i="70"/>
  <c r="H99" i="42"/>
  <c r="D107" i="28"/>
  <c r="N96" i="43"/>
  <c r="D93" i="46"/>
  <c r="E69" i="78"/>
  <c r="G14" i="28"/>
  <c r="H63" i="92"/>
  <c r="K66" i="87"/>
  <c r="E69" i="61"/>
  <c r="L99" i="60"/>
  <c r="K75" i="26"/>
  <c r="D51" i="28"/>
  <c r="I37"/>
  <c r="G96" i="61"/>
  <c r="L75" i="80"/>
  <c r="D93" i="27"/>
  <c r="F108" i="40"/>
  <c r="F50" i="37"/>
  <c r="I72" i="58"/>
  <c r="E96" i="85"/>
  <c r="E105" i="70"/>
  <c r="E66" i="61"/>
  <c r="J81" i="79"/>
  <c r="I108" i="25"/>
  <c r="E9" i="88"/>
  <c r="H102" i="54"/>
  <c r="J77" i="37"/>
  <c r="K63" i="41"/>
  <c r="J84" i="66"/>
  <c r="I11" i="37"/>
  <c r="D108" i="82"/>
  <c r="H64" i="37"/>
  <c r="H66" i="38"/>
  <c r="J30" i="31"/>
  <c r="K78" i="41"/>
  <c r="N108" i="54"/>
  <c r="J87" i="36"/>
  <c r="F96" i="62"/>
  <c r="K99" i="25"/>
  <c r="D41" i="88"/>
  <c r="L81" i="53"/>
  <c r="H72" i="57"/>
  <c r="I75" i="41"/>
  <c r="H99" i="80"/>
  <c r="I75" i="33"/>
  <c r="E105" i="69"/>
  <c r="E102" i="34"/>
  <c r="J90" i="91"/>
  <c r="I23" i="31"/>
  <c r="G87" i="56"/>
  <c r="O93" i="69"/>
  <c r="L102" i="46"/>
  <c r="H11" i="31"/>
  <c r="D105" i="64"/>
  <c r="J66" i="71"/>
  <c r="O41" i="88"/>
  <c r="L66" i="63"/>
  <c r="N69" i="36"/>
  <c r="K81" i="63"/>
  <c r="F81" i="59"/>
  <c r="D75" i="33"/>
  <c r="K63" i="46"/>
  <c r="J69" i="75"/>
  <c r="H108" i="40"/>
  <c r="H75" i="92"/>
  <c r="M87" i="78"/>
  <c r="E93" i="83"/>
  <c r="E102" i="46"/>
  <c r="H66"/>
  <c r="M96" i="35"/>
  <c r="H93" i="33"/>
  <c r="H90" i="56"/>
  <c r="D53" i="31"/>
  <c r="I65" i="28"/>
  <c r="M75" i="45"/>
  <c r="E84" i="81"/>
  <c r="J96" i="61"/>
  <c r="J81" i="62"/>
  <c r="I69" i="74"/>
  <c r="N84" i="63"/>
  <c r="M93" i="82"/>
  <c r="F102" i="52"/>
  <c r="F87" i="82"/>
  <c r="H90" i="25"/>
  <c r="G93" i="86"/>
  <c r="M10" i="88"/>
  <c r="I96" i="81"/>
  <c r="O63" i="78"/>
  <c r="F102" i="74"/>
  <c r="H108" i="26"/>
  <c r="G99" i="76"/>
  <c r="H66" i="62"/>
  <c r="N87" i="76"/>
  <c r="G25" i="88"/>
  <c r="G99" i="59"/>
  <c r="F81" i="25"/>
  <c r="N52" i="88"/>
  <c r="E105" i="73"/>
  <c r="M81" i="66"/>
  <c r="D90" i="54"/>
  <c r="G78" i="76"/>
  <c r="H99" i="65"/>
  <c r="M81" i="34"/>
  <c r="J9" i="37"/>
  <c r="I84" i="43"/>
  <c r="K102" i="66"/>
  <c r="F69" i="38"/>
  <c r="F67" i="37"/>
  <c r="F69" s="1"/>
  <c r="F4" i="31"/>
  <c r="L72" i="30"/>
  <c r="H96" i="69"/>
  <c r="M105" i="46"/>
  <c r="N69" i="66"/>
  <c r="D81" i="33"/>
  <c r="D87" i="26"/>
  <c r="I105" i="19"/>
  <c r="D23" i="37"/>
  <c r="L72" i="36"/>
  <c r="K76" i="37"/>
  <c r="K78" i="38"/>
  <c r="G75" i="93"/>
  <c r="O63" i="63"/>
  <c r="D93" i="33"/>
  <c r="K96" i="90"/>
  <c r="H19" i="88"/>
  <c r="J69" i="61"/>
  <c r="O87" i="77"/>
  <c r="I84" i="41"/>
  <c r="L90" i="57"/>
  <c r="K93" i="45"/>
  <c r="F93" i="41"/>
  <c r="E78" i="61"/>
  <c r="I32" i="37"/>
  <c r="E75" i="79"/>
  <c r="K87" i="77"/>
  <c r="D75" i="76"/>
  <c r="I71" i="28"/>
  <c r="H102" i="33"/>
  <c r="K99" i="32"/>
  <c r="K97" i="31"/>
  <c r="M84" i="65"/>
  <c r="E78" i="92"/>
  <c r="L84" i="68"/>
  <c r="D52" i="28"/>
  <c r="I84" i="44"/>
  <c r="J32" i="31"/>
  <c r="H70" i="37"/>
  <c r="H72" i="38"/>
  <c r="K96" i="76"/>
  <c r="O84" i="91"/>
  <c r="I99" i="45"/>
  <c r="O81" i="40"/>
  <c r="G49" i="31"/>
  <c r="E105" i="26"/>
  <c r="E102" i="40"/>
  <c r="J73" i="28"/>
  <c r="J75" s="1"/>
  <c r="J75" i="29"/>
  <c r="G24" i="28"/>
  <c r="D93" i="19"/>
  <c r="H72" i="78"/>
  <c r="E66" i="39"/>
  <c r="H36" i="88"/>
  <c r="E93" i="74"/>
  <c r="I81" i="68"/>
  <c r="L90" i="80"/>
  <c r="I96" i="79"/>
  <c r="G102" i="43"/>
  <c r="M92" i="28"/>
  <c r="H9" i="88"/>
  <c r="H72" i="61"/>
  <c r="D78" i="26"/>
  <c r="H102" i="64"/>
  <c r="D81" i="57"/>
  <c r="I36" i="88"/>
  <c r="O87" i="57"/>
  <c r="L69" i="59"/>
  <c r="E93" i="50"/>
  <c r="O69" i="67"/>
  <c r="G66" i="36"/>
  <c r="E66" i="74"/>
  <c r="M87" i="61"/>
  <c r="H66" i="77"/>
  <c r="M105" i="68"/>
  <c r="J78" i="65"/>
  <c r="O84" i="84"/>
  <c r="F101" i="37"/>
  <c r="F14" i="31"/>
  <c r="G99" i="34"/>
  <c r="L78" i="91"/>
  <c r="G63" i="74"/>
  <c r="O66" i="91"/>
  <c r="F93" i="86"/>
  <c r="O9" i="88"/>
  <c r="E72" i="48"/>
  <c r="G93" i="42"/>
  <c r="H105" i="66"/>
  <c r="O78" i="26"/>
  <c r="L99" i="25"/>
  <c r="O78" i="76"/>
  <c r="N102" i="26"/>
  <c r="L90" i="83"/>
  <c r="H63" i="80"/>
  <c r="I108" i="19"/>
  <c r="M63" i="55"/>
  <c r="K102" i="25"/>
  <c r="E87" i="91"/>
  <c r="L4" i="88"/>
  <c r="N103"/>
  <c r="N105" s="1"/>
  <c r="N105" i="89"/>
  <c r="L81" i="71"/>
  <c r="E90" i="55"/>
  <c r="K10" i="37"/>
  <c r="I94"/>
  <c r="I96" i="38"/>
  <c r="H87" i="46"/>
  <c r="G81" i="64"/>
  <c r="D13" i="37"/>
  <c r="G96" i="66"/>
  <c r="N38" i="37"/>
  <c r="J95" i="28"/>
  <c r="O90" i="80"/>
  <c r="G96" i="53"/>
  <c r="I78" i="84"/>
  <c r="L91" i="88"/>
  <c r="L93" i="89"/>
  <c r="N93" i="27"/>
  <c r="G34" i="31"/>
  <c r="F66" i="39"/>
  <c r="L66" i="60"/>
  <c r="F87" i="62"/>
  <c r="M81" i="26"/>
  <c r="M78" i="92"/>
  <c r="J84" i="78"/>
  <c r="G63" i="25"/>
  <c r="F99" i="73"/>
  <c r="K93" i="47"/>
  <c r="G44" i="31"/>
  <c r="F63" i="43"/>
  <c r="K108" i="33"/>
  <c r="K63" i="47"/>
  <c r="G105" i="83"/>
  <c r="M75" i="80"/>
  <c r="I96" i="43"/>
  <c r="J99" i="26"/>
  <c r="G87" i="43"/>
  <c r="D63" i="67"/>
  <c r="M96" i="57"/>
  <c r="F63" i="62"/>
  <c r="E92" i="31"/>
  <c r="D93" i="36"/>
  <c r="K78" i="51"/>
  <c r="F78" i="77"/>
  <c r="O87" i="54"/>
  <c r="N43" i="88"/>
  <c r="I80" i="28"/>
  <c r="D102" i="85"/>
  <c r="O93" i="70"/>
  <c r="N72" i="54"/>
  <c r="M39" i="28"/>
  <c r="K96" i="84"/>
  <c r="H66" i="64"/>
  <c r="F81" i="68"/>
  <c r="J90" i="39"/>
  <c r="F6" i="88"/>
  <c r="I93" i="34"/>
  <c r="I90" i="27"/>
  <c r="H49" i="31"/>
  <c r="G21" i="88"/>
  <c r="D99" i="33"/>
  <c r="K63" i="45"/>
  <c r="K69" i="77"/>
  <c r="M87" i="68"/>
  <c r="L93" i="43"/>
  <c r="L81" i="38"/>
  <c r="L79" i="37"/>
  <c r="H72" i="60"/>
  <c r="M23" i="31"/>
  <c r="M102" i="86"/>
  <c r="G12" i="28"/>
  <c r="K81" i="86"/>
  <c r="L78" i="78"/>
  <c r="O63" i="71"/>
  <c r="K93" i="66"/>
  <c r="M66" i="36"/>
  <c r="N69" i="40"/>
  <c r="M87"/>
  <c r="N43" i="28"/>
  <c r="E63" i="60"/>
  <c r="M84" i="61"/>
  <c r="M66" i="84"/>
  <c r="J96" i="64"/>
  <c r="M87" i="62"/>
  <c r="O48" i="31"/>
  <c r="H72" i="49"/>
  <c r="H108" i="61"/>
  <c r="E99" i="75"/>
  <c r="E81" i="55"/>
  <c r="I30" i="31"/>
  <c r="N108" i="32"/>
  <c r="N106" i="31"/>
  <c r="N66" i="19"/>
  <c r="O13" i="37"/>
  <c r="M95" i="28"/>
  <c r="L81" i="92"/>
  <c r="E43" i="28"/>
  <c r="H90" i="65"/>
  <c r="J72" i="91"/>
  <c r="F72" i="58"/>
  <c r="G94" i="31"/>
  <c r="G96" i="32"/>
  <c r="F96" i="56"/>
  <c r="J71" i="31"/>
  <c r="J72" s="1"/>
  <c r="I105" i="43"/>
  <c r="L108" i="63"/>
  <c r="D84" i="68"/>
  <c r="O25" i="37"/>
  <c r="H78" i="44"/>
  <c r="E14" i="28"/>
  <c r="E102" i="30"/>
  <c r="O72" i="74"/>
  <c r="H34" i="88"/>
  <c r="O87" i="93"/>
  <c r="D69" i="32"/>
  <c r="D67" i="31"/>
  <c r="E51" i="88"/>
  <c r="M81" i="76"/>
  <c r="G63" i="61"/>
  <c r="K99" i="54"/>
  <c r="J63" i="30"/>
  <c r="F84" i="52"/>
  <c r="I81" i="81"/>
  <c r="N93" i="35"/>
  <c r="N87" i="66"/>
  <c r="I63" i="75"/>
  <c r="I35" i="88"/>
  <c r="O63" i="94"/>
  <c r="I63" i="66"/>
  <c r="M69" i="80"/>
  <c r="K75" i="19"/>
  <c r="E75" i="94"/>
  <c r="M108" i="43"/>
  <c r="O69" i="29"/>
  <c r="O67" i="28"/>
  <c r="J72" i="44"/>
  <c r="G66" i="77"/>
  <c r="F93" i="50"/>
  <c r="F93" i="70"/>
  <c r="K81" i="84"/>
  <c r="O84" i="30"/>
  <c r="F81" i="66"/>
  <c r="H63" i="33"/>
  <c r="M102" i="92"/>
  <c r="D93" i="91"/>
  <c r="O54" i="28"/>
  <c r="L69" i="63"/>
  <c r="N10" i="31"/>
  <c r="K99" i="71"/>
  <c r="H84" i="26"/>
  <c r="N108" i="71"/>
  <c r="L6" i="88"/>
  <c r="J87" i="75"/>
  <c r="J31" i="88"/>
  <c r="K102" i="76"/>
  <c r="H90" i="51"/>
  <c r="J96" i="94"/>
  <c r="I81" i="60"/>
  <c r="I93" i="68"/>
  <c r="O66" i="59"/>
  <c r="M75" i="39"/>
  <c r="M93" i="25"/>
  <c r="O30" i="37"/>
  <c r="J87" i="80"/>
  <c r="H108" i="56"/>
  <c r="E81" i="71"/>
  <c r="F105" i="74"/>
  <c r="M66" i="26"/>
  <c r="E87" i="58"/>
  <c r="M96" i="68"/>
  <c r="J96" i="78"/>
  <c r="G103" i="28"/>
  <c r="G105" i="29"/>
  <c r="N23" i="37"/>
  <c r="N29" i="28"/>
  <c r="G72" i="41"/>
  <c r="I105" i="68"/>
  <c r="M90" i="93"/>
  <c r="M87" i="25"/>
  <c r="J56" i="88"/>
  <c r="O105" i="34"/>
  <c r="J96" i="67"/>
  <c r="H15" i="37"/>
  <c r="K81" i="48"/>
  <c r="L78" i="90"/>
  <c r="F78" i="74"/>
  <c r="M84" i="58"/>
  <c r="E48" i="28"/>
  <c r="G90" i="68"/>
  <c r="F99" i="50"/>
  <c r="F78"/>
  <c r="F69" i="85"/>
  <c r="J78" i="51"/>
  <c r="L47" i="88"/>
  <c r="H72" i="30"/>
  <c r="D78" i="90"/>
  <c r="L69" i="82"/>
  <c r="I69" i="73"/>
  <c r="F31" i="28"/>
  <c r="M72" i="84"/>
  <c r="G63" i="48"/>
  <c r="M87" i="63"/>
  <c r="L87" i="75"/>
  <c r="I93" i="76"/>
  <c r="J102" i="63"/>
  <c r="E105" i="44"/>
  <c r="I8" i="37"/>
  <c r="N108" i="67"/>
  <c r="L40" i="28"/>
  <c r="D69" i="52"/>
  <c r="K90" i="81"/>
  <c r="K34" i="28"/>
  <c r="H96" i="92"/>
  <c r="J30" i="28"/>
  <c r="H102" i="80"/>
  <c r="M72" i="47"/>
  <c r="H108" i="93"/>
  <c r="O63" i="72"/>
  <c r="O75" i="91"/>
  <c r="D90"/>
  <c r="D32" i="31"/>
  <c r="E8" i="28"/>
  <c r="E8" i="24" s="1"/>
  <c r="N102" i="82"/>
  <c r="M75" i="69"/>
  <c r="J95" i="37"/>
  <c r="D69" i="72"/>
  <c r="L90" i="59"/>
  <c r="D63" i="69"/>
  <c r="I63" i="61"/>
  <c r="K108" i="57"/>
  <c r="D81" i="67"/>
  <c r="N43" i="37"/>
  <c r="M93" i="43"/>
  <c r="O63"/>
  <c r="O99" i="26"/>
  <c r="I93" i="77"/>
  <c r="F63" i="64"/>
  <c r="E66" i="78"/>
  <c r="M18" i="37"/>
  <c r="O93" i="72"/>
  <c r="D102" i="47"/>
  <c r="O18" i="28"/>
  <c r="L50"/>
  <c r="J19"/>
  <c r="L78" i="61"/>
  <c r="J96" i="49"/>
  <c r="G66" i="44"/>
  <c r="O9" i="37"/>
  <c r="F81" i="86"/>
  <c r="I105" i="83"/>
  <c r="F108" i="46"/>
  <c r="J93" i="72"/>
  <c r="J93" i="76"/>
  <c r="O102" i="67"/>
  <c r="K6" i="31"/>
  <c r="I83"/>
  <c r="L69" i="43"/>
  <c r="E69" i="49"/>
  <c r="M69" i="89"/>
  <c r="M67" i="88"/>
  <c r="M66" i="75"/>
  <c r="D72" i="49"/>
  <c r="N4" i="37"/>
  <c r="L81" i="78"/>
  <c r="O96" i="71"/>
  <c r="M93"/>
  <c r="O93" i="63"/>
  <c r="F96" i="83"/>
  <c r="H44" i="31"/>
  <c r="G93" i="93"/>
  <c r="F69" i="68"/>
  <c r="O105" i="49"/>
  <c r="O84" i="19"/>
  <c r="J108" i="72"/>
  <c r="F84" i="63"/>
  <c r="J96" i="72"/>
  <c r="D72" i="63"/>
  <c r="K35" i="37"/>
  <c r="J66" i="81"/>
  <c r="O30" i="31"/>
  <c r="O78" i="86"/>
  <c r="G90" i="39"/>
  <c r="I93" i="92"/>
  <c r="F102" i="78"/>
  <c r="I99" i="48"/>
  <c r="K87" i="36"/>
  <c r="K63" i="64"/>
  <c r="E72" i="60"/>
  <c r="N75" i="30"/>
  <c r="F108" i="65"/>
  <c r="H56" i="28"/>
  <c r="L99" i="32"/>
  <c r="L97" i="31"/>
  <c r="G99" i="73"/>
  <c r="L87" i="74"/>
  <c r="N66" i="73"/>
  <c r="J105" i="44"/>
  <c r="K102" i="82"/>
  <c r="D87" i="44"/>
  <c r="G88" i="28"/>
  <c r="G90" i="29"/>
  <c r="O5" i="31"/>
  <c r="M90" i="51"/>
  <c r="K75" i="67"/>
  <c r="G10" i="28"/>
  <c r="J92"/>
  <c r="K66" i="57"/>
  <c r="H102" i="73"/>
  <c r="M66" i="40"/>
  <c r="H86" i="28"/>
  <c r="F63" i="85"/>
  <c r="M96" i="59"/>
  <c r="I87" i="77"/>
  <c r="G69" i="91"/>
  <c r="G72" i="72"/>
  <c r="K90" i="73"/>
  <c r="F93" i="61"/>
  <c r="G63" i="90"/>
  <c r="D89" i="88"/>
  <c r="L66" i="83"/>
  <c r="I95" i="28"/>
  <c r="H81" i="77"/>
  <c r="F102" i="82"/>
  <c r="N37" i="37"/>
  <c r="F66" i="67"/>
  <c r="M102" i="29"/>
  <c r="M100" i="28"/>
  <c r="E66" i="43"/>
  <c r="G69" i="68"/>
  <c r="E66" i="63"/>
  <c r="O72" i="83"/>
  <c r="I96" i="55"/>
  <c r="E69" i="54"/>
  <c r="F66" i="35"/>
  <c r="N87" i="57"/>
  <c r="G72" i="59"/>
  <c r="H75" i="46"/>
  <c r="D90" i="36"/>
  <c r="M102" i="35"/>
  <c r="N106" i="37"/>
  <c r="N108" i="38"/>
  <c r="F72" i="71"/>
  <c r="K32" i="88"/>
  <c r="D93" i="82"/>
  <c r="J105" i="30"/>
  <c r="L99" i="65"/>
  <c r="J63" i="94"/>
  <c r="H87" i="92"/>
  <c r="K81" i="41"/>
  <c r="J99" i="60"/>
  <c r="M90" i="45"/>
  <c r="M66" i="33"/>
  <c r="I78" i="67"/>
  <c r="L99" i="86"/>
  <c r="E83" i="37"/>
  <c r="F66" i="46"/>
  <c r="D81" i="54"/>
  <c r="M66" i="70"/>
  <c r="D102" i="45"/>
  <c r="I65" i="31"/>
  <c r="M108" i="74"/>
  <c r="N69" i="60"/>
  <c r="G78" i="39"/>
  <c r="L87" i="86"/>
  <c r="F84" i="65"/>
  <c r="K78" i="43"/>
  <c r="O62" i="31"/>
  <c r="N96" i="36"/>
  <c r="F75" i="76"/>
  <c r="F66" i="71"/>
  <c r="N87" i="81"/>
  <c r="J15" i="37"/>
  <c r="F90" i="47"/>
  <c r="O108" i="51"/>
  <c r="O103" i="31"/>
  <c r="O105" i="32"/>
  <c r="L42" i="88"/>
  <c r="H90" i="55"/>
  <c r="G102" i="44"/>
  <c r="D66" i="74"/>
  <c r="D102" i="91"/>
  <c r="J63" i="19"/>
  <c r="N68" i="28"/>
  <c r="N69" s="1"/>
  <c r="L9"/>
  <c r="I57" i="31"/>
  <c r="L20" i="28"/>
  <c r="L20" i="24" s="1"/>
  <c r="M105" i="58"/>
  <c r="H96" i="51"/>
  <c r="D63" i="59"/>
  <c r="G35" i="88"/>
  <c r="L90" i="25"/>
  <c r="M54" i="28"/>
  <c r="L63" i="78"/>
  <c r="H81" i="71"/>
  <c r="O81" i="34"/>
  <c r="F16" i="28"/>
  <c r="G105" i="40"/>
  <c r="N40" i="37"/>
  <c r="G90" i="54"/>
  <c r="L96" i="63"/>
  <c r="O101" i="28"/>
  <c r="M96" i="26"/>
  <c r="L96" i="81"/>
  <c r="F66" i="76"/>
  <c r="D14" i="31"/>
  <c r="O96" i="68"/>
  <c r="F66" i="66"/>
  <c r="D99" i="57"/>
  <c r="E42" i="31"/>
  <c r="D105" i="91"/>
  <c r="K102" i="71"/>
  <c r="N78" i="53"/>
  <c r="L102" i="76"/>
  <c r="D63" i="57"/>
  <c r="H99" i="79"/>
  <c r="G52" i="28"/>
  <c r="G99" i="53"/>
  <c r="L93" i="57"/>
  <c r="I72" i="81"/>
  <c r="L29" i="37"/>
  <c r="G63" i="45"/>
  <c r="I81" i="47"/>
  <c r="J99" i="90"/>
  <c r="I9" i="37"/>
  <c r="G96" i="40"/>
  <c r="I87" i="82"/>
  <c r="K90" i="71"/>
  <c r="N107" i="28"/>
  <c r="I87" i="42"/>
  <c r="M41" i="28"/>
  <c r="O87" i="91"/>
  <c r="D93" i="61"/>
  <c r="E81" i="48"/>
  <c r="J87" i="92"/>
  <c r="I105" i="38"/>
  <c r="I103" i="37"/>
  <c r="D78" i="68"/>
  <c r="L28" i="88"/>
  <c r="O75" i="76"/>
  <c r="G92" i="28"/>
  <c r="I102" i="77"/>
  <c r="J36" i="28"/>
  <c r="G33" i="31"/>
  <c r="K93" i="94"/>
  <c r="F105" i="26"/>
  <c r="E84" i="93"/>
  <c r="H84" i="80"/>
  <c r="L84" i="86"/>
  <c r="E40" i="31"/>
  <c r="E40" i="24" s="1"/>
  <c r="K63" i="43"/>
  <c r="O69" i="80"/>
  <c r="E25" i="88"/>
  <c r="F34"/>
  <c r="I75" i="46"/>
  <c r="E66" i="69"/>
  <c r="N63" i="72"/>
  <c r="J69" i="51"/>
  <c r="J96" i="30"/>
  <c r="L78" i="94"/>
  <c r="E9" i="31"/>
  <c r="K28"/>
  <c r="G81" i="33"/>
  <c r="L105" i="90"/>
  <c r="N40" i="88"/>
  <c r="N90" i="59"/>
  <c r="G69" i="50"/>
  <c r="K81" i="36"/>
  <c r="F87" i="90"/>
  <c r="K82" i="37"/>
  <c r="K84" s="1"/>
  <c r="K84" i="38"/>
  <c r="I84" i="66"/>
  <c r="M75" i="63"/>
  <c r="L75" i="25"/>
  <c r="N75" i="54"/>
  <c r="F108" i="51"/>
  <c r="D90" i="70"/>
  <c r="O90" i="60"/>
  <c r="N66" i="63"/>
  <c r="M102" i="67"/>
  <c r="D86" i="88"/>
  <c r="H39" i="28"/>
  <c r="H58"/>
  <c r="I72" i="44"/>
  <c r="I31" i="31"/>
  <c r="G48" i="88"/>
  <c r="E102" i="53"/>
  <c r="D66" i="71"/>
  <c r="K63" i="73"/>
  <c r="G87" i="45"/>
  <c r="N102" i="41"/>
  <c r="H84" i="65"/>
  <c r="H96" i="26"/>
  <c r="E96" i="67"/>
  <c r="F107" i="31"/>
  <c r="D81" i="69"/>
  <c r="I93" i="29"/>
  <c r="I91" i="28"/>
  <c r="O87" i="39"/>
  <c r="O105" i="67"/>
  <c r="F86" i="37"/>
  <c r="D72" i="86"/>
  <c r="D95" i="28"/>
  <c r="H75" i="91"/>
  <c r="O66" i="27"/>
  <c r="I78" i="60"/>
  <c r="J23" i="88"/>
  <c r="L105" i="67"/>
  <c r="H8" i="88"/>
  <c r="G72" i="86"/>
  <c r="E14" i="88"/>
  <c r="E72" i="63"/>
  <c r="J78" i="79"/>
  <c r="N90" i="48"/>
  <c r="L72" i="46"/>
  <c r="O99" i="94"/>
  <c r="G69" i="65"/>
  <c r="F52" i="28"/>
  <c r="L84" i="63"/>
  <c r="M105" i="25"/>
  <c r="O5" i="28"/>
  <c r="O63" i="64"/>
  <c r="H75" i="50"/>
  <c r="L39" i="28"/>
  <c r="D63" i="70"/>
  <c r="H102" i="93"/>
  <c r="G81" i="42"/>
  <c r="I105" i="46"/>
  <c r="F72" i="68"/>
  <c r="I32" i="31"/>
  <c r="I32" i="24" s="1"/>
  <c r="O96" i="75"/>
  <c r="M90" i="29"/>
  <c r="M88" i="28"/>
  <c r="I75" i="75"/>
  <c r="O96" i="72"/>
  <c r="D93" i="86"/>
  <c r="M87" i="65"/>
  <c r="K93" i="48"/>
  <c r="E78" i="47"/>
  <c r="M38" i="28"/>
  <c r="O22" i="88"/>
  <c r="K90" i="26"/>
  <c r="F25" i="37"/>
  <c r="D81" i="76"/>
  <c r="H39" i="31"/>
  <c r="J84" i="91"/>
  <c r="N81" i="92"/>
  <c r="M20" i="28"/>
  <c r="F106" i="31"/>
  <c r="F108" i="32"/>
  <c r="H101" i="37"/>
  <c r="N105" i="34"/>
  <c r="L69" i="64"/>
  <c r="J108" i="48"/>
  <c r="G84" i="53"/>
  <c r="G90" i="61"/>
  <c r="G63" i="49"/>
  <c r="I63"/>
  <c r="K66"/>
  <c r="J11" i="31"/>
  <c r="D63" i="49"/>
  <c r="J75" i="51"/>
  <c r="E78" i="82"/>
  <c r="K105" i="77"/>
  <c r="N75" i="70"/>
  <c r="M84" i="55"/>
  <c r="J99" i="41"/>
  <c r="H66" i="74"/>
  <c r="I10" i="28"/>
  <c r="J105" i="91"/>
  <c r="E27" i="31"/>
  <c r="F63" i="94"/>
  <c r="E47" i="37"/>
  <c r="G19" i="31"/>
  <c r="J93" i="90"/>
  <c r="D81"/>
  <c r="F59" i="88"/>
  <c r="F66" i="65"/>
  <c r="D76" i="37"/>
  <c r="D78" i="38"/>
  <c r="L16" i="37"/>
  <c r="O56" i="28"/>
  <c r="N102" i="69"/>
  <c r="L24" i="88"/>
  <c r="J40" i="28"/>
  <c r="N84" i="38"/>
  <c r="N82" i="37"/>
  <c r="N84" s="1"/>
  <c r="L57" i="28"/>
  <c r="M69" i="39"/>
  <c r="F75" i="59"/>
  <c r="K92" i="88"/>
  <c r="J105" i="60"/>
  <c r="M90" i="94"/>
  <c r="E74" i="31"/>
  <c r="N22" i="88"/>
  <c r="H75" i="65"/>
  <c r="F99" i="87"/>
  <c r="M99" i="32"/>
  <c r="M97" i="31"/>
  <c r="M81" i="80"/>
  <c r="I36" i="37"/>
  <c r="J69" i="93"/>
  <c r="O62" i="28"/>
  <c r="O63" s="1"/>
  <c r="N87" i="49"/>
  <c r="D81" i="79"/>
  <c r="L108" i="49"/>
  <c r="N72" i="81"/>
  <c r="L93" i="36"/>
  <c r="I72" i="47"/>
  <c r="I75" i="94"/>
  <c r="O75" i="44"/>
  <c r="J75" i="35"/>
  <c r="F72" i="94"/>
  <c r="D72" i="66"/>
  <c r="L87" i="58"/>
  <c r="O78" i="41"/>
  <c r="H35" i="88"/>
  <c r="F93" i="30"/>
  <c r="G81" i="60"/>
  <c r="L87" i="43"/>
  <c r="J72" i="93"/>
  <c r="L105" i="63"/>
  <c r="J66" i="26"/>
  <c r="J93" i="75"/>
  <c r="E63" i="58"/>
  <c r="G34" i="28"/>
  <c r="L75" i="53"/>
  <c r="H81" i="30"/>
  <c r="L75" i="34"/>
  <c r="K63" i="87"/>
  <c r="O78" i="19"/>
  <c r="D87" i="48"/>
  <c r="N39" i="37"/>
  <c r="I20" i="88"/>
  <c r="H72" i="81"/>
  <c r="O54" i="31"/>
  <c r="F63" i="35"/>
  <c r="J93" i="57"/>
  <c r="I66" i="53"/>
  <c r="G84" i="52"/>
  <c r="J102" i="66"/>
  <c r="N93" i="51"/>
  <c r="I78" i="75"/>
  <c r="I99" i="91"/>
  <c r="I6" i="88"/>
  <c r="O93" i="65"/>
  <c r="D102" i="72"/>
  <c r="D18" i="37"/>
  <c r="G21" i="31"/>
  <c r="K63" i="56"/>
  <c r="L75" i="48"/>
  <c r="G81" i="19"/>
  <c r="M81" i="84"/>
  <c r="F108" i="86"/>
  <c r="G66" i="74"/>
  <c r="H84" i="72"/>
  <c r="N102" i="55"/>
  <c r="J28" i="37"/>
  <c r="G108" i="73"/>
  <c r="D32" i="37"/>
  <c r="L93" i="19"/>
  <c r="M21" i="88"/>
  <c r="J6" i="28"/>
  <c r="K32" i="37"/>
  <c r="D105" i="65"/>
  <c r="G84" i="32"/>
  <c r="G82" i="31"/>
  <c r="L81" i="45"/>
  <c r="D7" i="31"/>
  <c r="E57"/>
  <c r="M99" i="46"/>
  <c r="H66" i="59"/>
  <c r="G75" i="49"/>
  <c r="D108" i="57"/>
  <c r="I72" i="92"/>
  <c r="F81" i="71"/>
  <c r="L69" i="81"/>
  <c r="N105" i="94"/>
  <c r="I108" i="27"/>
  <c r="L105" i="59"/>
  <c r="F93" i="78"/>
  <c r="J72" i="72"/>
  <c r="I102" i="46"/>
  <c r="L44" i="37"/>
  <c r="I69" i="76"/>
  <c r="I102" i="84"/>
  <c r="M87" i="27"/>
  <c r="I101" i="88"/>
  <c r="G93" i="68"/>
  <c r="D66" i="53"/>
  <c r="E36" i="28"/>
  <c r="G20"/>
  <c r="E108" i="74"/>
  <c r="J105" i="49"/>
  <c r="E66" i="89"/>
  <c r="E64" i="88"/>
  <c r="M57" i="28"/>
  <c r="E106" i="31"/>
  <c r="E108" i="32"/>
  <c r="I106" i="28"/>
  <c r="I108" i="29"/>
  <c r="L84" i="62"/>
  <c r="O75" i="54"/>
  <c r="N84" i="36"/>
  <c r="N72" i="26"/>
  <c r="E15" i="88"/>
  <c r="G64" i="31"/>
  <c r="G66" i="32"/>
  <c r="N84" i="94"/>
  <c r="D75" i="38"/>
  <c r="D73" i="37"/>
  <c r="D105" i="60"/>
  <c r="O102" i="56"/>
  <c r="H69" i="50"/>
  <c r="L72" i="56"/>
  <c r="F99" i="57"/>
  <c r="H4" i="28"/>
  <c r="I66" i="63"/>
  <c r="F90" i="44"/>
  <c r="F87" i="85"/>
  <c r="I90" i="52"/>
  <c r="E99" i="94"/>
  <c r="G75" i="53"/>
  <c r="N106" i="88"/>
  <c r="N108" i="89"/>
  <c r="E19" i="37"/>
  <c r="D51"/>
  <c r="K87" i="86"/>
  <c r="E87" i="84"/>
  <c r="J72" i="25"/>
  <c r="K93" i="54"/>
  <c r="N78" i="74"/>
  <c r="K75" i="36"/>
  <c r="N99" i="44"/>
  <c r="N84" i="89"/>
  <c r="N82" i="88"/>
  <c r="N99" i="93"/>
  <c r="N102" i="60"/>
  <c r="E99" i="70"/>
  <c r="O72" i="61"/>
  <c r="N78" i="84"/>
  <c r="N44" i="88"/>
  <c r="D81" i="72"/>
  <c r="H84" i="76"/>
  <c r="M93" i="19"/>
  <c r="G106" i="88"/>
  <c r="G108" s="1"/>
  <c r="G108" i="89"/>
  <c r="G78" i="65"/>
  <c r="H93" i="71"/>
  <c r="G69" i="69"/>
  <c r="D4" i="37"/>
  <c r="G102" i="84"/>
  <c r="E87" i="26"/>
  <c r="N108" i="25"/>
  <c r="I98" i="31"/>
  <c r="H87" i="57"/>
  <c r="D63" i="40"/>
  <c r="F75" i="26"/>
  <c r="N96"/>
  <c r="J38" i="31"/>
  <c r="J87" i="63"/>
  <c r="M81" i="71"/>
  <c r="M105" i="73"/>
  <c r="H96" i="82"/>
  <c r="H63" i="66"/>
  <c r="L4" i="28"/>
  <c r="E90" i="82"/>
  <c r="N69" i="39"/>
  <c r="E84" i="77"/>
  <c r="E69" i="29"/>
  <c r="E67" i="28"/>
  <c r="H81" i="49"/>
  <c r="O96" i="94"/>
  <c r="I87" i="55"/>
  <c r="N102" i="71"/>
  <c r="D99" i="93"/>
  <c r="F63" i="75"/>
  <c r="L93" i="71"/>
  <c r="G13" i="88"/>
  <c r="M96" i="55"/>
  <c r="E105" i="90"/>
  <c r="K66" i="60"/>
  <c r="K93" i="39"/>
  <c r="I76" i="37"/>
  <c r="I78" i="38"/>
  <c r="F96" i="45"/>
  <c r="O81" i="90"/>
  <c r="E53" i="28"/>
  <c r="H88" i="37"/>
  <c r="H90" i="38"/>
  <c r="H82" i="37"/>
  <c r="H84" i="38"/>
  <c r="I96" i="68"/>
  <c r="E96" i="29"/>
  <c r="E94" i="28"/>
  <c r="M102" i="81"/>
  <c r="I78" i="32"/>
  <c r="I76" i="31"/>
  <c r="I69" i="90"/>
  <c r="F75" i="61"/>
  <c r="N23" i="88"/>
  <c r="J90" i="79"/>
  <c r="G78" i="82"/>
  <c r="I25" i="31"/>
  <c r="F68" i="28"/>
  <c r="H99" i="47"/>
  <c r="E96" i="50"/>
  <c r="O102" i="94"/>
  <c r="J48" i="28"/>
  <c r="J48" i="24" s="1"/>
  <c r="J69" i="33"/>
  <c r="G90" i="41"/>
  <c r="H72" i="32"/>
  <c r="H70" i="31"/>
  <c r="M69" i="35"/>
  <c r="G78" i="63"/>
  <c r="O102" i="71"/>
  <c r="I63" i="29"/>
  <c r="I61" i="28"/>
  <c r="K108" i="72"/>
  <c r="M105" i="93"/>
  <c r="M99" i="69"/>
  <c r="O108" i="26"/>
  <c r="J93" i="41"/>
  <c r="M42" i="88"/>
  <c r="O93" i="92"/>
  <c r="G72" i="25"/>
  <c r="F69" i="66"/>
  <c r="K108" i="67"/>
  <c r="K66" i="64"/>
  <c r="M84" i="34"/>
  <c r="L97" i="37"/>
  <c r="L99" s="1"/>
  <c r="L99" i="38"/>
  <c r="I37" i="88"/>
  <c r="J63" i="66"/>
  <c r="D15" i="31"/>
  <c r="O105" i="25"/>
  <c r="M72" i="55"/>
  <c r="E72" i="81"/>
  <c r="I105" i="26"/>
  <c r="L93" i="35"/>
  <c r="M92" i="37"/>
  <c r="D90" i="65"/>
  <c r="D102" i="93"/>
  <c r="F89" i="28"/>
  <c r="K87" i="74"/>
  <c r="M40" i="37"/>
  <c r="J57" i="28"/>
  <c r="N69" i="69"/>
  <c r="J90" i="45"/>
  <c r="G102" i="80"/>
  <c r="F63" i="67"/>
  <c r="K59" i="88"/>
  <c r="F93" i="25"/>
  <c r="G105" i="41"/>
  <c r="K84"/>
  <c r="J69" i="46"/>
  <c r="G93" i="32"/>
  <c r="G91" i="31"/>
  <c r="E47" i="88"/>
  <c r="J102" i="50"/>
  <c r="D87" i="93"/>
  <c r="O72" i="35"/>
  <c r="E108" i="72"/>
  <c r="J78" i="26"/>
  <c r="M81" i="43"/>
  <c r="E92" i="88"/>
  <c r="H12" i="37"/>
  <c r="K87" i="78"/>
  <c r="G90" i="72"/>
  <c r="I31" i="88"/>
  <c r="L72" i="48"/>
  <c r="F36" i="28"/>
  <c r="F75" i="39"/>
  <c r="O89" i="28"/>
  <c r="M19" i="88"/>
  <c r="E74" i="28"/>
  <c r="D11" i="31"/>
  <c r="D66" i="78"/>
  <c r="H93" i="93"/>
  <c r="O31" i="37"/>
  <c r="K21"/>
  <c r="O72" i="41"/>
  <c r="D99" i="26"/>
  <c r="J34" i="88"/>
  <c r="K87" i="93"/>
  <c r="G5" i="28"/>
  <c r="L90" i="48"/>
  <c r="F99" i="41"/>
  <c r="D93" i="64"/>
  <c r="E81" i="40"/>
  <c r="H78" i="48"/>
  <c r="J90" i="94"/>
  <c r="E102" i="55"/>
  <c r="M63" i="36"/>
  <c r="K66" i="25"/>
  <c r="J99" i="27"/>
  <c r="G69" i="63"/>
  <c r="F81" i="70"/>
  <c r="D84" i="92"/>
  <c r="M78" i="65"/>
  <c r="H19" i="31"/>
  <c r="E10" i="37"/>
  <c r="J63" i="34"/>
  <c r="G99" i="54"/>
  <c r="H90" i="90"/>
  <c r="M81" i="82"/>
  <c r="L63" i="76"/>
  <c r="I99" i="46"/>
  <c r="O96" i="74"/>
  <c r="H20" i="31"/>
  <c r="H20" i="24" s="1"/>
  <c r="N81" i="76"/>
  <c r="E42" i="88"/>
  <c r="I46" i="31"/>
  <c r="D108" i="46"/>
  <c r="K103" i="28"/>
  <c r="K105" s="1"/>
  <c r="K105" i="29"/>
  <c r="N81" i="26"/>
  <c r="J66" i="74"/>
  <c r="K87" i="70"/>
  <c r="N102" i="39"/>
  <c r="O81" i="45"/>
  <c r="K75" i="47"/>
  <c r="O108" i="92"/>
  <c r="N63" i="56"/>
  <c r="F90" i="80"/>
  <c r="E42" i="28"/>
  <c r="G84" i="82"/>
  <c r="M77" i="88"/>
  <c r="K11"/>
  <c r="D72" i="68"/>
  <c r="G93" i="67"/>
  <c r="L75" i="36"/>
  <c r="H43" i="88"/>
  <c r="N20" i="37"/>
  <c r="M105" i="34"/>
  <c r="L93" i="48"/>
  <c r="F69" i="41"/>
  <c r="M96" i="69"/>
  <c r="N81" i="51"/>
  <c r="N66" i="47"/>
  <c r="G95" i="37"/>
  <c r="D50"/>
  <c r="K86" i="88"/>
  <c r="D16" i="31"/>
  <c r="I81" i="49"/>
  <c r="F93" i="39"/>
  <c r="M72" i="53"/>
  <c r="G81" i="59"/>
  <c r="N40" i="31"/>
  <c r="H68"/>
  <c r="L96" i="78"/>
  <c r="K99" i="64"/>
  <c r="E84" i="30"/>
  <c r="I75" i="62"/>
  <c r="E30" i="28"/>
  <c r="G108" i="63"/>
  <c r="L44" i="31"/>
  <c r="L69" i="55"/>
  <c r="N44" i="31"/>
  <c r="N108" i="92"/>
  <c r="H29" i="37"/>
  <c r="D84" i="63"/>
  <c r="J63" i="72"/>
  <c r="J99" i="78"/>
  <c r="E72" i="59"/>
  <c r="I66" i="77"/>
  <c r="I87" i="69"/>
  <c r="O66" i="74"/>
  <c r="I90" i="51"/>
  <c r="G66" i="39"/>
  <c r="I72" i="64"/>
  <c r="J66" i="35"/>
  <c r="E38" i="28"/>
  <c r="G90" i="79"/>
  <c r="D102" i="78"/>
  <c r="I75" i="80"/>
  <c r="O87" i="73"/>
  <c r="E105" i="65"/>
  <c r="G105" i="33"/>
  <c r="O96" i="90"/>
  <c r="L87" i="69"/>
  <c r="J78" i="94"/>
  <c r="K72" i="45"/>
  <c r="E69" i="57"/>
  <c r="I69" i="79"/>
  <c r="I102" i="72"/>
  <c r="N59" i="37"/>
  <c r="J99" i="63"/>
  <c r="K105" i="26"/>
  <c r="L69" i="75"/>
  <c r="G57" i="37"/>
  <c r="L87" i="60"/>
  <c r="O96" i="82"/>
  <c r="J85" i="37"/>
  <c r="J87" i="38"/>
  <c r="N28" i="31"/>
  <c r="O21" i="28"/>
  <c r="D99" i="55"/>
  <c r="G95" i="28"/>
  <c r="G87" i="49"/>
  <c r="H69" i="74"/>
  <c r="O75" i="19"/>
  <c r="H56" i="31"/>
  <c r="I66" i="64"/>
  <c r="H40" i="88"/>
  <c r="I99" i="60"/>
  <c r="L90" i="38"/>
  <c r="L88" i="37"/>
  <c r="I81" i="74"/>
  <c r="D81" i="75"/>
  <c r="H97" i="37"/>
  <c r="H99" i="38"/>
  <c r="O68" i="28"/>
  <c r="E72" i="51"/>
  <c r="H64" i="88"/>
  <c r="H66" i="89"/>
  <c r="J72" i="43"/>
  <c r="J72" i="83"/>
  <c r="J13" i="88"/>
  <c r="D99" i="86"/>
  <c r="K96" i="80"/>
  <c r="M102" i="68"/>
  <c r="G8" i="37"/>
  <c r="M9"/>
  <c r="M90" i="68"/>
  <c r="M69" i="84"/>
  <c r="K99" i="44"/>
  <c r="I84" i="27"/>
  <c r="L90" i="55"/>
  <c r="I104" i="31"/>
  <c r="O84" i="53"/>
  <c r="G78" i="44"/>
  <c r="L99" i="54"/>
  <c r="G81" i="36"/>
  <c r="H99" i="49"/>
  <c r="J87" i="71"/>
  <c r="M96" i="62"/>
  <c r="I99" i="56"/>
  <c r="K93" i="51"/>
  <c r="G108" i="53"/>
  <c r="O70" i="31"/>
  <c r="O72" i="32"/>
  <c r="J90" i="78"/>
  <c r="N63" i="49"/>
  <c r="I66" i="55"/>
  <c r="G78" i="75"/>
  <c r="F96" i="61"/>
  <c r="G45" i="37"/>
  <c r="I75" i="38"/>
  <c r="I73" i="37"/>
  <c r="O22" i="28"/>
  <c r="G63" i="69"/>
  <c r="O96" i="86"/>
  <c r="G90" i="77"/>
  <c r="N105" i="80"/>
  <c r="D105" i="76"/>
  <c r="F105" i="40"/>
  <c r="H75"/>
  <c r="E96" i="45"/>
  <c r="H105" i="67"/>
  <c r="D44" i="88"/>
  <c r="G93" i="84"/>
  <c r="G84" i="59"/>
  <c r="D90" i="69"/>
  <c r="H32" i="37"/>
  <c r="K108" i="25"/>
  <c r="K69" i="49"/>
  <c r="M65" i="31"/>
  <c r="K84" i="48"/>
  <c r="J75" i="38"/>
  <c r="J73" i="37"/>
  <c r="M101" i="28"/>
  <c r="J75" i="81"/>
  <c r="E28" i="31"/>
  <c r="E75" i="62"/>
  <c r="I81" i="19"/>
  <c r="I75" i="84"/>
  <c r="G108" i="82"/>
  <c r="D72" i="70"/>
  <c r="L78" i="58"/>
  <c r="K84" i="71"/>
  <c r="G93" i="62"/>
  <c r="K108" i="82"/>
  <c r="M102" i="66"/>
  <c r="E81" i="62"/>
  <c r="M69" i="55"/>
  <c r="K93" i="59"/>
  <c r="I87" i="61"/>
  <c r="F87" i="63"/>
  <c r="M75" i="75"/>
  <c r="N108" i="80"/>
  <c r="F72" i="79"/>
  <c r="O102" i="87"/>
  <c r="J87" i="81"/>
  <c r="M99" i="41"/>
  <c r="K102"/>
  <c r="I105" i="80"/>
  <c r="F96" i="92"/>
  <c r="G64" i="28"/>
  <c r="G66" i="29"/>
  <c r="N75" i="66"/>
  <c r="F22" i="37"/>
  <c r="O72" i="43"/>
  <c r="F77" i="31"/>
  <c r="K108" i="93"/>
  <c r="I96"/>
  <c r="N21" i="28"/>
  <c r="H93" i="80"/>
  <c r="F108" i="29"/>
  <c r="F106" i="28"/>
  <c r="K75" i="75"/>
  <c r="M56" i="37"/>
  <c r="H99" i="33"/>
  <c r="K98" i="28"/>
  <c r="N38" i="88"/>
  <c r="E93" i="33"/>
  <c r="F102" i="48"/>
  <c r="K84" i="70"/>
  <c r="M82" i="31"/>
  <c r="M84" i="32"/>
  <c r="D78" i="51"/>
  <c r="E102" i="78"/>
  <c r="E93" i="94"/>
  <c r="D75" i="55"/>
  <c r="G108" i="67"/>
  <c r="J90" i="33"/>
  <c r="F75" i="42"/>
  <c r="N90" i="66"/>
  <c r="E75" i="49"/>
  <c r="N47" i="88"/>
  <c r="D87" i="86"/>
  <c r="F53" i="28"/>
  <c r="H13"/>
  <c r="N85"/>
  <c r="N87" i="29"/>
  <c r="E93" i="54"/>
  <c r="J58" i="31"/>
  <c r="H81" i="79"/>
  <c r="M72" i="94"/>
  <c r="E55" i="88"/>
  <c r="E102" i="35"/>
  <c r="H41" i="31"/>
  <c r="K98" i="88"/>
  <c r="E72" i="83"/>
  <c r="D105" i="66"/>
  <c r="K78" i="58"/>
  <c r="M75" i="64"/>
  <c r="H99" i="46"/>
  <c r="H47" i="88"/>
  <c r="I81" i="48"/>
  <c r="L81" i="83"/>
  <c r="J84" i="74"/>
  <c r="H15" i="88"/>
  <c r="H87" i="77"/>
  <c r="M74" i="88"/>
  <c r="K87" i="48"/>
  <c r="G93" i="65"/>
  <c r="N81" i="47"/>
  <c r="K65" i="88"/>
  <c r="N75" i="25"/>
  <c r="L63" i="44"/>
  <c r="F90" i="49"/>
  <c r="J105" i="55"/>
  <c r="N75" i="41"/>
  <c r="N87" i="72"/>
  <c r="J96" i="38"/>
  <c r="J94" i="37"/>
  <c r="M32"/>
  <c r="J81" i="43"/>
  <c r="E90" i="86"/>
  <c r="G96" i="70"/>
  <c r="J62" i="28"/>
  <c r="J63" s="1"/>
  <c r="E77" i="88"/>
  <c r="G66" i="73"/>
  <c r="O66" i="19"/>
  <c r="F108" i="49"/>
  <c r="N78" i="65"/>
  <c r="G81" i="92"/>
  <c r="M102" i="71"/>
  <c r="O63" i="65"/>
  <c r="J66" i="68"/>
  <c r="L84" i="74"/>
  <c r="H63" i="61"/>
  <c r="F75" i="75"/>
  <c r="K75" i="86"/>
  <c r="F11" i="88"/>
  <c r="N96" i="70"/>
  <c r="N105"/>
  <c r="K63" i="44"/>
  <c r="K66" i="43"/>
  <c r="O108" i="59"/>
  <c r="K90" i="60"/>
  <c r="D66" i="90"/>
  <c r="N72" i="19"/>
  <c r="O48" i="88"/>
  <c r="I72" i="40"/>
  <c r="J84" i="54"/>
  <c r="F39" i="31"/>
  <c r="J93" i="78"/>
  <c r="F33" i="28"/>
  <c r="L36" i="88"/>
  <c r="D96" i="33"/>
  <c r="M81" i="38"/>
  <c r="M79" i="37"/>
  <c r="L72" i="71"/>
  <c r="G63" i="78"/>
  <c r="L87" i="80"/>
  <c r="O105" i="92"/>
  <c r="E72" i="19"/>
  <c r="G69" i="42"/>
  <c r="M105" i="47"/>
  <c r="K93" i="36"/>
  <c r="D105" i="56"/>
  <c r="N81" i="54"/>
  <c r="D13" i="31"/>
  <c r="N17" i="88"/>
  <c r="G99" i="89"/>
  <c r="G97" i="88"/>
  <c r="G99" s="1"/>
  <c r="D87" i="78"/>
  <c r="F72" i="84"/>
  <c r="M66" i="68"/>
  <c r="J84" i="76"/>
  <c r="D69" i="80"/>
  <c r="H78" i="47"/>
  <c r="H102" i="29"/>
  <c r="H100" i="28"/>
  <c r="H102" s="1"/>
  <c r="J108" i="81"/>
  <c r="M86" i="88"/>
  <c r="G66" i="34"/>
  <c r="F80" i="31"/>
  <c r="N78" i="39"/>
  <c r="F81" i="47"/>
  <c r="F5" i="31"/>
  <c r="N105" i="82"/>
  <c r="K84" i="89"/>
  <c r="K82" i="88"/>
  <c r="D78" i="41"/>
  <c r="I18" i="28"/>
  <c r="E99" i="73"/>
  <c r="K84" i="93"/>
  <c r="E18" i="88"/>
  <c r="E69" i="64"/>
  <c r="D84" i="90"/>
  <c r="I16" i="37"/>
  <c r="J84" i="27"/>
  <c r="J83" i="31"/>
  <c r="K90" i="47"/>
  <c r="G72" i="84"/>
  <c r="G96" i="56"/>
  <c r="F102" i="72"/>
  <c r="H101" i="88"/>
  <c r="G69" i="61"/>
  <c r="J63" i="93"/>
  <c r="I82" i="37"/>
  <c r="I84" i="38"/>
  <c r="E96" i="76"/>
  <c r="D66" i="66"/>
  <c r="H86" i="37"/>
  <c r="F25" i="31"/>
  <c r="N66" i="86"/>
  <c r="D69" i="78"/>
  <c r="F52" i="37"/>
  <c r="M108" i="19"/>
  <c r="G90" i="43"/>
  <c r="D99" i="30"/>
  <c r="N41" i="88"/>
  <c r="N105" i="68"/>
  <c r="F108" i="43"/>
  <c r="L84" i="72"/>
  <c r="F93" i="56"/>
  <c r="K75" i="49"/>
  <c r="N102" i="43"/>
  <c r="I75" i="60"/>
  <c r="I66" i="25"/>
  <c r="O66" i="67"/>
  <c r="L102" i="82"/>
  <c r="D72" i="46"/>
  <c r="N96" i="47"/>
  <c r="N84" i="65"/>
  <c r="I105" i="60"/>
  <c r="O69" i="45"/>
  <c r="K72" i="89"/>
  <c r="K70" i="88"/>
  <c r="K72" s="1"/>
  <c r="J90" i="43"/>
  <c r="N96" i="94"/>
  <c r="N90" i="62"/>
  <c r="L45" i="28"/>
  <c r="L101"/>
  <c r="E84" i="55"/>
  <c r="M7" i="28"/>
  <c r="F87" i="74"/>
  <c r="M78" i="35"/>
  <c r="D87" i="55"/>
  <c r="F63" i="58"/>
  <c r="E108" i="40"/>
  <c r="M23" i="88"/>
  <c r="E82"/>
  <c r="E84" s="1"/>
  <c r="E84" i="89"/>
  <c r="D96" i="55"/>
  <c r="H87" i="83"/>
  <c r="E71" i="31"/>
  <c r="F78" i="53"/>
  <c r="I66" i="49"/>
  <c r="N84" i="55"/>
  <c r="G102" i="82"/>
  <c r="J99" i="87"/>
  <c r="F48" i="37"/>
  <c r="M64" i="28"/>
  <c r="M66" i="29"/>
  <c r="L78" i="49"/>
  <c r="K59" i="28"/>
  <c r="H78" i="71"/>
  <c r="H72" i="47"/>
  <c r="E66" i="19"/>
  <c r="O99" i="34"/>
  <c r="F108" i="41"/>
  <c r="J86" i="31"/>
  <c r="E31"/>
  <c r="E46" i="88"/>
  <c r="I102" i="76"/>
  <c r="H66" i="41"/>
  <c r="E53" i="31"/>
  <c r="J47" i="28"/>
  <c r="F96" i="84"/>
  <c r="L43" i="31"/>
  <c r="L61" i="37"/>
  <c r="L63" i="38"/>
  <c r="K105" i="83"/>
  <c r="D69" i="93"/>
  <c r="G43" i="88"/>
  <c r="I63" i="44"/>
  <c r="F78" i="41"/>
  <c r="J44" i="37"/>
  <c r="D87" i="46"/>
  <c r="M59" i="37"/>
  <c r="E93" i="38"/>
  <c r="E91" i="37"/>
  <c r="G81" i="48"/>
  <c r="F52" i="88"/>
  <c r="D99" i="90"/>
  <c r="M75" i="76"/>
  <c r="G99" i="56"/>
  <c r="M99" i="77"/>
  <c r="N74" i="88"/>
  <c r="M69" i="65"/>
  <c r="J93" i="47"/>
  <c r="L105" i="61"/>
  <c r="H74" i="28"/>
  <c r="F63" i="73"/>
  <c r="M35" i="88"/>
  <c r="G108" i="62"/>
  <c r="O108" i="72"/>
  <c r="I51" i="37"/>
  <c r="J108" i="51"/>
  <c r="G78" i="94"/>
  <c r="D87" i="91"/>
  <c r="H90" i="72"/>
  <c r="O105" i="55"/>
  <c r="G105" i="45"/>
  <c r="N99" i="78"/>
  <c r="F19" i="37"/>
  <c r="L102" i="74"/>
  <c r="E66" i="25"/>
  <c r="H87" i="89"/>
  <c r="H85" i="88"/>
  <c r="G87" i="34"/>
  <c r="E63" i="87"/>
  <c r="N75" i="34"/>
  <c r="F78" i="60"/>
  <c r="D96" i="84"/>
  <c r="N72" i="45"/>
  <c r="G78" i="64"/>
  <c r="E63" i="76"/>
  <c r="O108" i="73"/>
  <c r="O63" i="59"/>
  <c r="D105" i="29"/>
  <c r="D103" i="28"/>
  <c r="M93" i="35"/>
  <c r="E96" i="68"/>
  <c r="H63" i="48"/>
  <c r="L91" i="28"/>
  <c r="L93" i="29"/>
  <c r="E105" i="67"/>
  <c r="J78" i="64"/>
  <c r="F75" i="50"/>
  <c r="E69" i="85"/>
  <c r="D21" i="28"/>
  <c r="K93" i="81"/>
  <c r="N63" i="64"/>
  <c r="J69" i="39"/>
  <c r="N96" i="54"/>
  <c r="H75" i="27"/>
  <c r="D84" i="91"/>
  <c r="J63" i="48"/>
  <c r="L90" i="71"/>
  <c r="I22" i="31"/>
  <c r="F100" i="88"/>
  <c r="F102" i="89"/>
  <c r="L87" i="82"/>
  <c r="K99" i="73"/>
  <c r="E105" i="78"/>
  <c r="H63" i="46"/>
  <c r="I78" i="66"/>
  <c r="E19" i="31"/>
  <c r="N69" i="71"/>
  <c r="J93" i="29"/>
  <c r="J91" i="28"/>
  <c r="J93" s="1"/>
  <c r="F102" i="63"/>
  <c r="D64" i="28"/>
  <c r="D66" i="29"/>
  <c r="N99" i="64"/>
  <c r="D66" i="79"/>
  <c r="H4" i="88"/>
  <c r="E90" i="92"/>
  <c r="G84" i="86"/>
  <c r="D108" i="73"/>
  <c r="K63" i="26"/>
  <c r="J63" i="49"/>
  <c r="N66" i="56"/>
  <c r="K66" i="47"/>
  <c r="F75" i="41"/>
  <c r="K46" i="28"/>
  <c r="M24" i="37"/>
  <c r="G86" i="31"/>
  <c r="L90" i="60"/>
  <c r="M86" i="37"/>
  <c r="M87" s="1"/>
  <c r="O99" i="51"/>
  <c r="N99" i="65"/>
  <c r="L9" i="37"/>
  <c r="J105" i="47"/>
  <c r="L105" i="66"/>
  <c r="F66" i="49"/>
  <c r="H81" i="48"/>
  <c r="H6" i="28"/>
  <c r="J52" i="37"/>
  <c r="D108" i="63"/>
  <c r="D93" i="74"/>
  <c r="N99" i="58"/>
  <c r="F105" i="81"/>
  <c r="I96" i="63"/>
  <c r="D87" i="49"/>
  <c r="G75" i="65"/>
  <c r="D69" i="49"/>
  <c r="K84" i="26"/>
  <c r="J99" i="68"/>
  <c r="J84" i="92"/>
  <c r="O87" i="68"/>
  <c r="N87" i="41"/>
  <c r="O63" i="53"/>
  <c r="F81" i="54"/>
  <c r="F59" i="28"/>
  <c r="O27"/>
  <c r="G72" i="36"/>
  <c r="E90" i="72"/>
  <c r="E6" i="31"/>
  <c r="J84" i="39"/>
  <c r="F78" i="57"/>
  <c r="M93" i="75"/>
  <c r="O89" i="37"/>
  <c r="N44" i="28"/>
  <c r="H50"/>
  <c r="O75" i="59"/>
  <c r="D102" i="81"/>
  <c r="G96" i="59"/>
  <c r="E105" i="25"/>
  <c r="K19" i="31"/>
  <c r="L69" i="53"/>
  <c r="G5" i="88"/>
  <c r="J81" i="40"/>
  <c r="L72" i="67"/>
  <c r="F90" i="93"/>
  <c r="L6" i="37"/>
  <c r="O90" i="27"/>
  <c r="F105" i="60"/>
  <c r="I108" i="85"/>
  <c r="G93" i="48"/>
  <c r="F72" i="62"/>
  <c r="J93" i="82"/>
  <c r="K105" i="65"/>
  <c r="L93" i="83"/>
  <c r="N83" i="88"/>
  <c r="M69" i="45"/>
  <c r="E99" i="91"/>
  <c r="G75" i="41"/>
  <c r="E105" i="82"/>
  <c r="H63" i="47"/>
  <c r="M75" i="34"/>
  <c r="N105" i="49"/>
  <c r="M93" i="30"/>
  <c r="E44" i="28"/>
  <c r="D90" i="57"/>
  <c r="J32" i="28"/>
  <c r="J29" i="31"/>
  <c r="L66" i="39"/>
  <c r="G69" i="33"/>
  <c r="J93" i="86"/>
  <c r="N75" i="48"/>
  <c r="F63" i="55"/>
  <c r="L69" i="60"/>
  <c r="N76" i="28"/>
  <c r="N78" s="1"/>
  <c r="N78" i="29"/>
  <c r="F77" i="88"/>
  <c r="J75" i="53"/>
  <c r="L49" i="28"/>
  <c r="M63" i="77"/>
  <c r="O58" i="88"/>
  <c r="D75" i="72"/>
  <c r="F87" i="80"/>
  <c r="E66" i="71"/>
  <c r="K87" i="92"/>
  <c r="I81" i="71"/>
  <c r="H72" i="69"/>
  <c r="M78" i="26"/>
  <c r="N32" i="28"/>
  <c r="N32" i="24" s="1"/>
  <c r="N75" i="40"/>
  <c r="F81" i="56"/>
  <c r="D63" i="94"/>
  <c r="J84" i="45"/>
  <c r="H78"/>
  <c r="E99" i="62"/>
  <c r="D44" i="37"/>
  <c r="D99" i="80"/>
  <c r="D96" i="63"/>
  <c r="J59" i="28"/>
  <c r="H108" i="35"/>
  <c r="G66" i="41"/>
  <c r="K78" i="71"/>
  <c r="E93" i="45"/>
  <c r="E87" i="68"/>
  <c r="I77" i="31"/>
  <c r="D38" i="88"/>
  <c r="E63" i="94"/>
  <c r="J102" i="53"/>
  <c r="L102" i="61"/>
  <c r="J99" i="93"/>
  <c r="J57" i="88"/>
  <c r="F63" i="46"/>
  <c r="L96" i="39"/>
  <c r="K84" i="63"/>
  <c r="O84" i="55"/>
  <c r="I93" i="72"/>
  <c r="D70" i="37"/>
  <c r="D72" i="38"/>
  <c r="O69" i="73"/>
  <c r="O69" i="83"/>
  <c r="H78" i="60"/>
  <c r="H103" i="31"/>
  <c r="H105" i="32"/>
  <c r="F87" i="69"/>
  <c r="O81"/>
  <c r="N99" i="33"/>
  <c r="K83" i="28"/>
  <c r="G87" i="80"/>
  <c r="G64" i="37"/>
  <c r="G66" i="38"/>
  <c r="E63" i="72"/>
  <c r="J90" i="66"/>
  <c r="D63" i="34"/>
  <c r="K105" i="91"/>
  <c r="N63" i="84"/>
  <c r="I72" i="43"/>
  <c r="F105" i="76"/>
  <c r="E72" i="80"/>
  <c r="F29" i="37"/>
  <c r="G55"/>
  <c r="J75" i="76"/>
  <c r="J93" i="62"/>
  <c r="E105" i="41"/>
  <c r="G69" i="55"/>
  <c r="J19" i="88"/>
  <c r="E78" i="27"/>
  <c r="E108" i="62"/>
  <c r="N19" i="31"/>
  <c r="N74" i="28"/>
  <c r="I48" i="31"/>
  <c r="O72" i="48"/>
  <c r="H37" i="31"/>
  <c r="K66" i="46"/>
  <c r="I56" i="88"/>
  <c r="J87" i="55"/>
  <c r="N87" i="34"/>
  <c r="F89" i="37"/>
  <c r="H108" i="62"/>
  <c r="J102" i="44"/>
  <c r="J90" i="89"/>
  <c r="J88" i="88"/>
  <c r="E69" i="89"/>
  <c r="E67" i="88"/>
  <c r="I56" i="37"/>
  <c r="O106" i="88"/>
  <c r="O108" s="1"/>
  <c r="O108" i="89"/>
  <c r="K90" i="46"/>
  <c r="E102" i="52"/>
  <c r="D105" i="86"/>
  <c r="M108" i="80"/>
  <c r="M81" i="83"/>
  <c r="L75" i="47"/>
  <c r="M67" i="28"/>
  <c r="M69" i="29"/>
  <c r="F44" i="31"/>
  <c r="I49"/>
  <c r="O33"/>
  <c r="H84" i="52"/>
  <c r="E96" i="90"/>
  <c r="F66" i="25"/>
  <c r="N96" i="19"/>
  <c r="O69" i="54"/>
  <c r="O90" i="70"/>
  <c r="H99" i="68"/>
  <c r="E66" i="44"/>
  <c r="E54" i="31"/>
  <c r="E81" i="78"/>
  <c r="G72"/>
  <c r="K79" i="88"/>
  <c r="K81" i="89"/>
  <c r="O102" i="75"/>
  <c r="G81" i="87"/>
  <c r="J87" i="74"/>
  <c r="J102" i="51"/>
  <c r="L105" i="35"/>
  <c r="E101" i="31"/>
  <c r="D75" i="63"/>
  <c r="M81" i="93"/>
  <c r="O26" i="88"/>
  <c r="O66" i="62"/>
  <c r="K75" i="82"/>
  <c r="D75" i="90"/>
  <c r="O72" i="36"/>
  <c r="K84" i="61"/>
  <c r="D57" i="31"/>
  <c r="D57" i="24" s="1"/>
  <c r="G93" i="53"/>
  <c r="F84" i="78"/>
  <c r="K102" i="58"/>
  <c r="M105" i="83"/>
  <c r="E75" i="47"/>
  <c r="O83" i="31"/>
  <c r="K102" i="73"/>
  <c r="L62" i="28"/>
  <c r="K94" i="88"/>
  <c r="K96" i="89"/>
  <c r="L96" i="61"/>
  <c r="L108" i="57"/>
  <c r="N108" i="19"/>
  <c r="M66" i="57"/>
  <c r="L66" i="92"/>
  <c r="E63" i="49"/>
  <c r="G95" i="31"/>
  <c r="J79" i="88"/>
  <c r="J81" i="89"/>
  <c r="L81" i="69"/>
  <c r="O81" i="33"/>
  <c r="N81" i="56"/>
  <c r="N75" i="72"/>
  <c r="M87" i="32"/>
  <c r="M85" i="31"/>
  <c r="O72" i="71"/>
  <c r="N84" i="48"/>
  <c r="D75" i="91"/>
  <c r="J50" i="37"/>
  <c r="K99" i="48"/>
  <c r="E108" i="67"/>
  <c r="N93" i="78"/>
  <c r="M87" i="49"/>
  <c r="N7" i="88"/>
  <c r="F84" i="25"/>
  <c r="J63" i="47"/>
  <c r="E81" i="68"/>
  <c r="K90" i="83"/>
  <c r="N105" i="29"/>
  <c r="N103" i="28"/>
  <c r="M78" i="59"/>
  <c r="N78" i="55"/>
  <c r="H72" i="86"/>
  <c r="M96" i="63"/>
  <c r="N70" i="37"/>
  <c r="N72" i="38"/>
  <c r="K47" i="37"/>
  <c r="D102" i="46"/>
  <c r="G102" i="63"/>
  <c r="L78" i="76"/>
  <c r="F96" i="38"/>
  <c r="F94" i="37"/>
  <c r="F96" s="1"/>
  <c r="E52"/>
  <c r="F99" i="63"/>
  <c r="H105" i="68"/>
  <c r="O81" i="66"/>
  <c r="I66" i="86"/>
  <c r="H63" i="72"/>
  <c r="E84" i="47"/>
  <c r="J84" i="25"/>
  <c r="J93" i="79"/>
  <c r="F84" i="47"/>
  <c r="L108"/>
  <c r="N87" i="36"/>
  <c r="E69" i="81"/>
  <c r="N42" i="31"/>
  <c r="J105" i="46"/>
  <c r="N89" i="28"/>
  <c r="N90" s="1"/>
  <c r="L65" i="37"/>
  <c r="I75" i="58"/>
  <c r="L63" i="32"/>
  <c r="L61" i="31"/>
  <c r="N66" i="49"/>
  <c r="F102" i="58"/>
  <c r="H75" i="74"/>
  <c r="F108" i="52"/>
  <c r="L85" i="88"/>
  <c r="L87" i="89"/>
  <c r="M99" i="64"/>
  <c r="D66" i="41"/>
  <c r="O84" i="76"/>
  <c r="K91" i="31"/>
  <c r="K93" i="32"/>
  <c r="H81" i="67"/>
  <c r="E68" i="31"/>
  <c r="I105" i="81"/>
  <c r="M72" i="25"/>
  <c r="I102" i="89"/>
  <c r="I100" i="88"/>
  <c r="O99" i="56"/>
  <c r="M63" i="48"/>
  <c r="K69" i="57"/>
  <c r="L102" i="47"/>
  <c r="K99" i="69"/>
  <c r="E96" i="91"/>
  <c r="M96" i="73"/>
  <c r="E13" i="88"/>
  <c r="O43"/>
  <c r="I66" i="40"/>
  <c r="M96" i="54"/>
  <c r="L105" i="30"/>
  <c r="E84" i="90"/>
  <c r="L78" i="46"/>
  <c r="L79" i="88"/>
  <c r="L81" s="1"/>
  <c r="L81" i="89"/>
  <c r="N105" i="57"/>
  <c r="O90" i="33"/>
  <c r="G77" i="88"/>
  <c r="I93" i="91"/>
  <c r="O103" i="28"/>
  <c r="O105" i="29"/>
  <c r="N84" i="66"/>
  <c r="O81" i="27"/>
  <c r="M72" i="33"/>
  <c r="K66" i="62"/>
  <c r="E6" i="28"/>
  <c r="K51" i="37"/>
  <c r="O65" i="31"/>
  <c r="H93" i="56"/>
  <c r="H81" i="80"/>
  <c r="K17" i="31"/>
  <c r="F81" i="74"/>
  <c r="J42" i="37"/>
  <c r="L78" i="87"/>
  <c r="M93" i="46"/>
  <c r="N84" i="45"/>
  <c r="I21" i="37"/>
  <c r="J10" i="88"/>
  <c r="H66" i="90"/>
  <c r="H63" i="35"/>
  <c r="M39" i="88"/>
  <c r="M63" i="35"/>
  <c r="D84" i="34"/>
  <c r="K81" i="43"/>
  <c r="M105" i="64"/>
  <c r="I66" i="61"/>
  <c r="I105" i="90"/>
  <c r="I93" i="41"/>
  <c r="G84" i="54"/>
  <c r="K78" i="49"/>
  <c r="O107" i="37"/>
  <c r="I39" i="88"/>
  <c r="O84" i="54"/>
  <c r="M78" i="75"/>
  <c r="M72" i="81"/>
  <c r="M98" i="28"/>
  <c r="G69" i="74"/>
  <c r="E84" i="66"/>
  <c r="G96" i="27"/>
  <c r="J63" i="26"/>
  <c r="M48" i="31"/>
  <c r="N108" i="30"/>
  <c r="D87" i="60"/>
  <c r="N81" i="40"/>
  <c r="L81" i="35"/>
  <c r="H93" i="30"/>
  <c r="H87" i="32"/>
  <c r="H85" i="31"/>
  <c r="K108" i="19"/>
  <c r="M96" i="47"/>
  <c r="D90" i="50"/>
  <c r="G108"/>
  <c r="D87" i="47"/>
  <c r="N63" i="34"/>
  <c r="O84" i="83"/>
  <c r="M78" i="60"/>
  <c r="J72" i="86"/>
  <c r="L66" i="81"/>
  <c r="I78" i="92"/>
  <c r="G75" i="43"/>
  <c r="F96" i="47"/>
  <c r="O93" i="43"/>
  <c r="N100" i="88"/>
  <c r="N102" s="1"/>
  <c r="N102" i="89"/>
  <c r="H5" i="28"/>
  <c r="I93" i="73"/>
  <c r="D87" i="33"/>
  <c r="H81" i="91"/>
  <c r="O81" i="65"/>
  <c r="H96" i="45"/>
  <c r="K5" i="37"/>
  <c r="N58"/>
  <c r="D55" i="28"/>
  <c r="M108" i="59"/>
  <c r="F72" i="39"/>
  <c r="D9" i="88"/>
  <c r="O105" i="68"/>
  <c r="G72" i="50"/>
  <c r="L101" i="31"/>
  <c r="O102" i="55"/>
  <c r="E84" i="53"/>
  <c r="L35" i="37"/>
  <c r="D72" i="69"/>
  <c r="M102" i="25"/>
  <c r="G102" i="60"/>
  <c r="J81" i="41"/>
  <c r="D105" i="63"/>
  <c r="K78" i="83"/>
  <c r="F87" i="70"/>
  <c r="I22" i="37"/>
  <c r="D72" i="48"/>
  <c r="J20" i="37"/>
  <c r="L81" i="58"/>
  <c r="H31" i="37"/>
  <c r="F69" i="76"/>
  <c r="L84" i="57"/>
  <c r="H63" i="58"/>
  <c r="G50" i="31"/>
  <c r="K96" i="83"/>
  <c r="M105" i="49"/>
  <c r="F61" i="88"/>
  <c r="F63" i="89"/>
  <c r="M26" i="37"/>
  <c r="O78" i="74"/>
  <c r="K66" i="58"/>
  <c r="G4" i="88"/>
  <c r="G8" i="31"/>
  <c r="E53" i="37"/>
  <c r="E47" i="31"/>
  <c r="F75" i="83"/>
  <c r="G84" i="62"/>
  <c r="F108" i="53"/>
  <c r="E108" i="45"/>
  <c r="O87" i="35"/>
  <c r="K78" i="77"/>
  <c r="G93" i="26"/>
  <c r="I17" i="88"/>
  <c r="M63" i="29"/>
  <c r="M61" i="28"/>
  <c r="L81" i="41"/>
  <c r="G96" i="90"/>
  <c r="H105" i="39"/>
  <c r="E81" i="76"/>
  <c r="K27" i="88"/>
  <c r="J102" i="74"/>
  <c r="J108" i="29"/>
  <c r="J106" i="28"/>
  <c r="F77"/>
  <c r="N93" i="44"/>
  <c r="J51" i="88"/>
  <c r="H83" i="28"/>
  <c r="J74" i="37"/>
  <c r="L96" i="62"/>
  <c r="G32" i="37"/>
  <c r="D108" i="83"/>
  <c r="I84" i="58"/>
  <c r="L108" i="25"/>
  <c r="H93" i="61"/>
  <c r="CD96" i="3"/>
  <c r="CF96"/>
  <c r="CV35"/>
  <c r="DK29"/>
  <c r="CI117"/>
  <c r="BH56"/>
  <c r="CT71"/>
  <c r="CT72" s="1"/>
  <c r="CJ85"/>
  <c r="CY26"/>
  <c r="CZ26"/>
  <c r="CU41"/>
  <c r="BS65"/>
  <c r="BR65"/>
  <c r="BS49"/>
  <c r="BR49"/>
  <c r="CS49"/>
  <c r="CD121"/>
  <c r="CY38"/>
  <c r="DL26" s="1"/>
  <c r="CZ38"/>
  <c r="DM26" s="1"/>
  <c r="DL27"/>
  <c r="BH65"/>
  <c r="CZ73"/>
  <c r="CZ74" s="1"/>
  <c r="BI66"/>
  <c r="H44" i="96"/>
  <c r="CW57" i="3"/>
  <c r="CH124"/>
  <c r="CI86"/>
  <c r="CY28"/>
  <c r="CE88"/>
  <c r="CT29"/>
  <c r="CP37"/>
  <c r="CA116"/>
  <c r="CW52"/>
  <c r="CX52"/>
  <c r="CZ71"/>
  <c r="CZ72" s="1"/>
  <c r="H57" i="96"/>
  <c r="CH123" i="3"/>
  <c r="CJ124"/>
  <c r="CX44"/>
  <c r="CE97"/>
  <c r="CU30"/>
  <c r="CT30"/>
  <c r="CF124"/>
  <c r="CY46"/>
  <c r="BJ65"/>
  <c r="BI65"/>
  <c r="CY54"/>
  <c r="CW40"/>
  <c r="CL2"/>
  <c r="CL6" s="1"/>
  <c r="CB94"/>
  <c r="CB114"/>
  <c r="CF95"/>
  <c r="CF102" s="1"/>
  <c r="CU33"/>
  <c r="CF115"/>
  <c r="CX48"/>
  <c r="DA48"/>
  <c r="CE117"/>
  <c r="CU39"/>
  <c r="DH28" s="1"/>
  <c r="DG29"/>
  <c r="P57" i="96"/>
  <c r="CF119" i="3"/>
  <c r="CC2"/>
  <c r="CC22" s="1"/>
  <c r="CI99"/>
  <c r="H6" i="96"/>
  <c r="CX71" i="3"/>
  <c r="CX72" s="1"/>
  <c r="CC116"/>
  <c r="CS37"/>
  <c r="CT40"/>
  <c r="BQ66"/>
  <c r="BP66"/>
  <c r="CH2"/>
  <c r="CH12" s="1"/>
  <c r="CZ51"/>
  <c r="CJ122"/>
  <c r="CV57"/>
  <c r="CG124"/>
  <c r="CD124"/>
  <c r="CZ41"/>
  <c r="CU48"/>
  <c r="CK119"/>
  <c r="CZ45"/>
  <c r="DA45"/>
  <c r="CQ34"/>
  <c r="CB99"/>
  <c r="CG95"/>
  <c r="CG102" s="1"/>
  <c r="CG115"/>
  <c r="CV33"/>
  <c r="CK118"/>
  <c r="DA43"/>
  <c r="CU42"/>
  <c r="CV42"/>
  <c r="CF120"/>
  <c r="CI95"/>
  <c r="CI115"/>
  <c r="CY33"/>
  <c r="CX54"/>
  <c r="DA56"/>
  <c r="CZ34"/>
  <c r="CY34"/>
  <c r="CJ99"/>
  <c r="CI121"/>
  <c r="J9" i="97"/>
  <c r="CT34" i="3"/>
  <c r="CD99"/>
  <c r="CR52"/>
  <c r="CG119"/>
  <c r="CV45"/>
  <c r="CW45"/>
  <c r="P6" i="96"/>
  <c r="BG32" i="3"/>
  <c r="BH63"/>
  <c r="BN57"/>
  <c r="BR58"/>
  <c r="BO50"/>
  <c r="BK53"/>
  <c r="BG39"/>
  <c r="W26" s="1"/>
  <c r="BG45"/>
  <c r="W40" s="1"/>
  <c r="BS62"/>
  <c r="BP56"/>
  <c r="BK55"/>
  <c r="BG41"/>
  <c r="BS58"/>
  <c r="BQ63"/>
  <c r="BM59"/>
  <c r="BQ59"/>
  <c r="BQ62"/>
  <c r="BP54"/>
  <c r="BI51"/>
  <c r="BG43"/>
  <c r="W33" s="1"/>
  <c r="BS60"/>
  <c r="BN62"/>
  <c r="BR61"/>
  <c r="BJ54"/>
  <c r="BL51"/>
  <c r="BQ51"/>
  <c r="BR62"/>
  <c r="BP62"/>
  <c r="BR51"/>
  <c r="BS57"/>
  <c r="BG40"/>
  <c r="BM52"/>
  <c r="BN54"/>
  <c r="BH60"/>
  <c r="BR63"/>
  <c r="BO62"/>
  <c r="BI64"/>
  <c r="BG36"/>
  <c r="BS53"/>
  <c r="BP61"/>
  <c r="BN56"/>
  <c r="BO55"/>
  <c r="BG42"/>
  <c r="BP50"/>
  <c r="BO54"/>
  <c r="BQ58"/>
  <c r="BG37"/>
  <c r="W19" s="1"/>
  <c r="BS54"/>
  <c r="BO57"/>
  <c r="BM62"/>
  <c r="BH52"/>
  <c r="BG33"/>
  <c r="W5" s="1"/>
  <c r="BS50"/>
  <c r="BH51"/>
  <c r="BG47"/>
  <c r="W47" s="1"/>
  <c r="BS64"/>
  <c r="BP53"/>
  <c r="BL62"/>
  <c r="BI56"/>
  <c r="BQ56"/>
  <c r="BN59"/>
  <c r="BO56"/>
  <c r="BJ53"/>
  <c r="BP55"/>
  <c r="BH64"/>
  <c r="BG35"/>
  <c r="W12" s="1"/>
  <c r="BS52"/>
  <c r="BI60"/>
  <c r="BL52"/>
  <c r="BQ61"/>
  <c r="BR52"/>
  <c r="BN55"/>
  <c r="BR64"/>
  <c r="BN52"/>
  <c r="BS59"/>
  <c r="BR59"/>
  <c r="CP50"/>
  <c r="CQ50"/>
  <c r="H58" i="96"/>
  <c r="CL121" i="3"/>
  <c r="BQ60"/>
  <c r="BR60"/>
  <c r="CV41"/>
  <c r="BO60"/>
  <c r="BP60"/>
  <c r="CX56"/>
  <c r="AB45" i="96"/>
  <c r="F45"/>
  <c r="J28"/>
  <c r="AB52"/>
  <c r="E38"/>
  <c r="F38"/>
  <c r="CL96" i="3"/>
  <c r="BN64"/>
  <c r="BO64"/>
  <c r="CA96"/>
  <c r="CA104" s="1"/>
  <c r="CP35"/>
  <c r="BK52"/>
  <c r="CG98"/>
  <c r="CW32"/>
  <c r="M41" i="96"/>
  <c r="H41"/>
  <c r="F40"/>
  <c r="H49"/>
  <c r="CS28" i="3"/>
  <c r="CR28"/>
  <c r="CC86"/>
  <c r="F37" i="96"/>
  <c r="E37"/>
  <c r="H32"/>
  <c r="P32"/>
  <c r="CR31" i="3"/>
  <c r="CC114"/>
  <c r="CC94"/>
  <c r="CE94"/>
  <c r="CE114"/>
  <c r="BN49"/>
  <c r="BH50"/>
  <c r="BJ49"/>
  <c r="CU51"/>
  <c r="CE122"/>
  <c r="F52" i="96"/>
  <c r="Y52"/>
  <c r="DA57" i="3"/>
  <c r="CZ57"/>
  <c r="CK124"/>
  <c r="CL116"/>
  <c r="CW71"/>
  <c r="CW72" s="1"/>
  <c r="BP58"/>
  <c r="CH87"/>
  <c r="CH113"/>
  <c r="CX27"/>
  <c r="BS56"/>
  <c r="BR56"/>
  <c r="DE29"/>
  <c r="CC117"/>
  <c r="N19" i="22"/>
  <c r="M19"/>
  <c r="BG46" i="3"/>
  <c r="BS63"/>
  <c r="BM55"/>
  <c r="BL55"/>
  <c r="CG3"/>
  <c r="CG7" s="1"/>
  <c r="J17" i="96"/>
  <c r="S17"/>
  <c r="H17"/>
  <c r="P17"/>
  <c r="CV54" i="3"/>
  <c r="CW54"/>
  <c r="BI54"/>
  <c r="BH54"/>
  <c r="CH118"/>
  <c r="CX43"/>
  <c r="BQ52"/>
  <c r="BH57"/>
  <c r="BO59"/>
  <c r="BP59"/>
  <c r="CZ43"/>
  <c r="CY43"/>
  <c r="CJ118"/>
  <c r="H22" i="96"/>
  <c r="DN27" i="3"/>
  <c r="DA38"/>
  <c r="DN26" s="1"/>
  <c r="V52" i="96"/>
  <c r="DA31" i="3"/>
  <c r="CL94"/>
  <c r="CL114"/>
  <c r="CW56"/>
  <c r="BJ60"/>
  <c r="H16" i="96"/>
  <c r="V45"/>
  <c r="J10" i="97"/>
  <c r="CT35" i="3"/>
  <c r="CU35"/>
  <c r="CE96"/>
  <c r="S51" i="96"/>
  <c r="H18"/>
  <c r="BL64" i="3"/>
  <c r="BM64"/>
  <c r="CT55"/>
  <c r="CF86"/>
  <c r="CE3"/>
  <c r="CE11" s="1"/>
  <c r="CF85"/>
  <c r="H51" i="96"/>
  <c r="CP57" i="3"/>
  <c r="CQ57"/>
  <c r="CA124"/>
  <c r="CC122"/>
  <c r="BR54"/>
  <c r="BQ54"/>
  <c r="BK60"/>
  <c r="BL60"/>
  <c r="H10" i="97"/>
  <c r="I10" s="1"/>
  <c r="CS35" i="3"/>
  <c r="CC96"/>
  <c r="H42" i="96"/>
  <c r="BO63" i="3"/>
  <c r="BP63"/>
  <c r="CV52"/>
  <c r="BQ64"/>
  <c r="BP64"/>
  <c r="CS52"/>
  <c r="CW41"/>
  <c r="H21" i="96"/>
  <c r="S21"/>
  <c r="CP48" i="3"/>
  <c r="P34" i="96"/>
  <c r="BN53" i="3"/>
  <c r="BO53"/>
  <c r="M34" i="96"/>
  <c r="BG44" i="3"/>
  <c r="BS61"/>
  <c r="BJ51"/>
  <c r="BK51"/>
  <c r="DC29"/>
  <c r="CA117"/>
  <c r="CP39"/>
  <c r="DC28" s="1"/>
  <c r="CV49"/>
  <c r="CF121"/>
  <c r="BI53"/>
  <c r="BH53"/>
  <c r="CJ113"/>
  <c r="CY27"/>
  <c r="CJ87"/>
  <c r="H54" i="96"/>
  <c r="P54"/>
  <c r="M54"/>
  <c r="CW36" i="3"/>
  <c r="CX36"/>
  <c r="BQ55"/>
  <c r="BR55"/>
  <c r="H20" i="96"/>
  <c r="P20"/>
  <c r="F11" i="22"/>
  <c r="E11"/>
  <c r="J13" i="97"/>
  <c r="M33" i="96"/>
  <c r="H33"/>
  <c r="S33"/>
  <c r="CP73" i="3"/>
  <c r="CP74" s="1"/>
  <c r="BO52"/>
  <c r="BP52"/>
  <c r="CQ40"/>
  <c r="CP40"/>
  <c r="N31" i="22"/>
  <c r="L32"/>
  <c r="M31"/>
  <c r="CF99" i="3"/>
  <c r="CG105" s="1"/>
  <c r="CV34"/>
  <c r="CU34"/>
  <c r="CR49"/>
  <c r="CQ49"/>
  <c r="CB121"/>
  <c r="M20" i="96"/>
  <c r="CT56" i="3"/>
  <c r="H24" i="96"/>
  <c r="CY71" i="3"/>
  <c r="CY72" s="1"/>
  <c r="S12" i="96"/>
  <c r="BQ50" i="3"/>
  <c r="BR50"/>
  <c r="D32" i="22"/>
  <c r="E29"/>
  <c r="D30"/>
  <c r="F29"/>
  <c r="J29" i="96"/>
  <c r="BK58" i="3"/>
  <c r="BL58"/>
  <c r="M17" i="22"/>
  <c r="N17"/>
  <c r="CI2" i="3"/>
  <c r="CI4" s="1"/>
  <c r="CX35"/>
  <c r="CH96"/>
  <c r="CW35"/>
  <c r="CP36"/>
  <c r="DF29"/>
  <c r="CD117"/>
  <c r="CT39"/>
  <c r="DG28" s="1"/>
  <c r="CS39"/>
  <c r="DF28" s="1"/>
  <c r="CR57"/>
  <c r="CC124"/>
  <c r="CS57"/>
  <c r="BL63"/>
  <c r="CX50"/>
  <c r="CW50"/>
  <c r="BM50"/>
  <c r="BN50"/>
  <c r="Y18" i="96"/>
  <c r="BI62" i="3"/>
  <c r="S29" i="96"/>
  <c r="CB120" i="3"/>
  <c r="CQ47"/>
  <c r="BM65"/>
  <c r="BL65"/>
  <c r="AB15" i="96"/>
  <c r="BI61" i="3"/>
  <c r="BH61"/>
  <c r="CT28"/>
  <c r="CU28"/>
  <c r="CE86"/>
  <c r="CQ26"/>
  <c r="CB85"/>
  <c r="DA42"/>
  <c r="CZ42"/>
  <c r="BH49"/>
  <c r="BI49"/>
  <c r="CX26"/>
  <c r="CH85"/>
  <c r="M37" i="96"/>
  <c r="J37"/>
  <c r="P37"/>
  <c r="H37"/>
  <c r="D28" i="22"/>
  <c r="D33"/>
  <c r="D26"/>
  <c r="Y29" i="96"/>
  <c r="V29"/>
  <c r="F29"/>
  <c r="BG38" i="3"/>
  <c r="BS55"/>
  <c r="CR48"/>
  <c r="BJ63"/>
  <c r="BK63"/>
  <c r="BJ62"/>
  <c r="BK62"/>
  <c r="BM49"/>
  <c r="BL49"/>
  <c r="BJ58"/>
  <c r="CR38"/>
  <c r="DE26" s="1"/>
  <c r="DE27"/>
  <c r="CQ32"/>
  <c r="CB98"/>
  <c r="BK50"/>
  <c r="BL50"/>
  <c r="J7" i="97"/>
  <c r="CT38" i="3"/>
  <c r="DG26" s="1"/>
  <c r="CU38"/>
  <c r="DH26" s="1"/>
  <c r="DG27"/>
  <c r="BJ50"/>
  <c r="DF27"/>
  <c r="CS38"/>
  <c r="DF26" s="1"/>
  <c r="CC98"/>
  <c r="CR32"/>
  <c r="CA3"/>
  <c r="CA7" s="1"/>
  <c r="M25" i="22"/>
  <c r="N25"/>
  <c r="K26"/>
  <c r="BK54" i="3"/>
  <c r="E5" i="101"/>
  <c r="CY47" i="3"/>
  <c r="CI120"/>
  <c r="CX47"/>
  <c r="CB3"/>
  <c r="CB9" s="1"/>
  <c r="CG87"/>
  <c r="CW27"/>
  <c r="CG113"/>
  <c r="N27" i="22"/>
  <c r="M27"/>
  <c r="S24" i="96"/>
  <c r="BQ49" i="3"/>
  <c r="BP49"/>
  <c r="K35" i="22"/>
  <c r="K33"/>
  <c r="K28"/>
  <c r="K30"/>
  <c r="CQ73" i="3"/>
  <c r="BJ55"/>
  <c r="BI55"/>
  <c r="CC118"/>
  <c r="BK56"/>
  <c r="V37" i="96"/>
  <c r="CJ88" i="3"/>
  <c r="CZ29"/>
  <c r="CY29"/>
  <c r="J21" i="96"/>
  <c r="BP57" i="3"/>
  <c r="BO51"/>
  <c r="BP51"/>
  <c r="CT49"/>
  <c r="CU49"/>
  <c r="CE121"/>
  <c r="CU54"/>
  <c r="CT53"/>
  <c r="CD123"/>
  <c r="CS53"/>
  <c r="BN63"/>
  <c r="BM63"/>
  <c r="CB119"/>
  <c r="CQ44"/>
  <c r="BL53"/>
  <c r="BM53"/>
  <c r="CR53"/>
  <c r="CC123"/>
  <c r="M42" i="96"/>
  <c r="CH95" i="3"/>
  <c r="CW33"/>
  <c r="CX33"/>
  <c r="CH115"/>
  <c r="BM57"/>
  <c r="BL57"/>
  <c r="BK64"/>
  <c r="BJ64"/>
  <c r="DD27"/>
  <c r="CQ38"/>
  <c r="DD26" s="1"/>
  <c r="CE119"/>
  <c r="CU45"/>
  <c r="CT45"/>
  <c r="CY53"/>
  <c r="CI123"/>
  <c r="CX53"/>
  <c r="BL54"/>
  <c r="BM54"/>
  <c r="BJ61"/>
  <c r="CV50"/>
  <c r="CA98"/>
  <c r="CA103" s="1"/>
  <c r="CP32"/>
  <c r="CZ48"/>
  <c r="CY48"/>
  <c r="BI59"/>
  <c r="CV32"/>
  <c r="CF98"/>
  <c r="CR36"/>
  <c r="CS36"/>
  <c r="BR57"/>
  <c r="BQ57"/>
  <c r="J22" i="96"/>
  <c r="BM61" i="3"/>
  <c r="M14" i="22"/>
  <c r="N14"/>
  <c r="CV43" i="3"/>
  <c r="CW43"/>
  <c r="CG118"/>
  <c r="J58" i="96"/>
  <c r="BJ59" i="3"/>
  <c r="M44" i="96"/>
  <c r="P22"/>
  <c r="CQ48" i="3"/>
  <c r="BK57"/>
  <c r="CC97"/>
  <c r="CS30"/>
  <c r="CR30"/>
  <c r="CS71"/>
  <c r="CS72" s="1"/>
  <c r="BI63"/>
  <c r="F30" i="96"/>
  <c r="E30"/>
  <c r="V30"/>
  <c r="CA86" i="3"/>
  <c r="CA90" s="1"/>
  <c r="CP28"/>
  <c r="CQ28"/>
  <c r="BI58"/>
  <c r="BH58"/>
  <c r="DD29"/>
  <c r="CB117"/>
  <c r="CQ39"/>
  <c r="DD28" s="1"/>
  <c r="CR39"/>
  <c r="DE28" s="1"/>
  <c r="CQ41"/>
  <c r="CP41"/>
  <c r="CI3"/>
  <c r="CI5" s="1"/>
  <c r="BI50"/>
  <c r="BK49"/>
  <c r="M6" i="96"/>
  <c r="BN51" i="3"/>
  <c r="BM51"/>
  <c r="BJ56"/>
  <c r="K11" i="97"/>
  <c r="CS41" i="3"/>
  <c r="CT41"/>
  <c r="CA121"/>
  <c r="CP49"/>
  <c r="BG34"/>
  <c r="BS51"/>
  <c r="CT43"/>
  <c r="CS43"/>
  <c r="CD118"/>
  <c r="BK59"/>
  <c r="BL59"/>
  <c r="CS73"/>
  <c r="CS74" s="1"/>
  <c r="DA50"/>
  <c r="BM56"/>
  <c r="BL56"/>
  <c r="CR44"/>
  <c r="DA54"/>
  <c r="CZ54"/>
  <c r="DA26"/>
  <c r="CL85"/>
  <c r="N16" i="22"/>
  <c r="M16"/>
  <c r="BQ53" i="3"/>
  <c r="BR53"/>
  <c r="BM60"/>
  <c r="BN60"/>
  <c r="CF114"/>
  <c r="CV31"/>
  <c r="CU31"/>
  <c r="CF94"/>
  <c r="AB25" i="96"/>
  <c r="V25"/>
  <c r="Y25"/>
  <c r="F25"/>
  <c r="CT46" i="3"/>
  <c r="BH62"/>
  <c r="CO73"/>
  <c r="CO74" s="1"/>
  <c r="J12" i="97"/>
  <c r="BN58" i="3"/>
  <c r="BO58"/>
  <c r="CT48"/>
  <c r="CS48"/>
  <c r="CA2"/>
  <c r="CA12" s="1"/>
  <c r="CQ54"/>
  <c r="CP54"/>
  <c r="CQ51"/>
  <c r="CB122"/>
  <c r="CR51"/>
  <c r="AB28" i="96"/>
  <c r="CD114" i="3"/>
  <c r="CT31"/>
  <c r="CD94"/>
  <c r="CS31"/>
  <c r="K12" i="97"/>
  <c r="H12"/>
  <c r="I12" s="1"/>
  <c r="V15" i="96"/>
  <c r="N23" i="22"/>
  <c r="K24"/>
  <c r="M23"/>
  <c r="CE85" i="3"/>
  <c r="CU26"/>
  <c r="CT26"/>
  <c r="BH59"/>
  <c r="S6" i="96"/>
  <c r="P29"/>
  <c r="H29"/>
  <c r="CR33" i="3"/>
  <c r="CB95"/>
  <c r="CB115"/>
  <c r="CR71"/>
  <c r="CR72" s="1"/>
  <c r="BH55"/>
  <c r="CP44"/>
  <c r="M12" i="22"/>
  <c r="N12"/>
  <c r="CQ30" i="3"/>
  <c r="CB97"/>
  <c r="BN61"/>
  <c r="BO61"/>
  <c r="F18" i="22"/>
  <c r="E18"/>
  <c r="BL61" i="3"/>
  <c r="BK61"/>
  <c r="F32" i="96"/>
  <c r="CS56" i="3"/>
  <c r="CR56"/>
  <c r="BI52"/>
  <c r="BJ52"/>
  <c r="BJ57"/>
  <c r="BI57"/>
  <c r="CR47"/>
  <c r="CC120"/>
  <c r="CQ36"/>
  <c r="M28" i="96"/>
  <c r="CQ52" i="3"/>
  <c r="CP52"/>
  <c r="CW29"/>
  <c r="CG88"/>
  <c r="CS42"/>
  <c r="CT42"/>
  <c r="BM58"/>
  <c r="CV55"/>
  <c r="CU55"/>
  <c r="E40" i="96"/>
  <c r="J31"/>
  <c r="P31"/>
  <c r="H31"/>
  <c r="CU47" i="3"/>
  <c r="CE120"/>
  <c r="CA122"/>
  <c r="CP51"/>
  <c r="J52" i="96"/>
  <c r="H8" i="97"/>
  <c r="I8" s="1"/>
  <c r="K8"/>
  <c r="E7" i="101" s="1"/>
  <c r="CQ29" i="3"/>
  <c r="CP29"/>
  <c r="CA88"/>
  <c r="CA92" s="1"/>
  <c r="H52" i="96"/>
  <c r="V59"/>
  <c r="CW30" i="3"/>
  <c r="CH97"/>
  <c r="CX30"/>
  <c r="CK98"/>
  <c r="DA32"/>
  <c r="CZ32"/>
  <c r="CS46"/>
  <c r="CR46"/>
  <c r="S50" i="96"/>
  <c r="CC99" i="3"/>
  <c r="CS34"/>
  <c r="CR34"/>
  <c r="K41" i="22"/>
  <c r="CS33" i="3"/>
  <c r="CD115"/>
  <c r="CD95"/>
  <c r="CE102" s="1"/>
  <c r="CT33"/>
  <c r="D3" i="101"/>
  <c r="L39" i="22"/>
  <c r="N6"/>
  <c r="D4" i="101" s="1"/>
  <c r="M6" i="22"/>
  <c r="BR66" i="3"/>
  <c r="BS66"/>
  <c r="DA52"/>
  <c r="CZ52"/>
  <c r="CV56"/>
  <c r="CU56"/>
  <c r="DA44"/>
  <c r="AB55" i="96"/>
  <c r="F55"/>
  <c r="E55"/>
  <c r="V55"/>
  <c r="S22"/>
  <c r="CX46" i="3"/>
  <c r="S18" i="96"/>
  <c r="S54"/>
  <c r="M56"/>
  <c r="M26"/>
  <c r="H26"/>
  <c r="S26"/>
  <c r="P26"/>
  <c r="DA30" i="3"/>
  <c r="CL97"/>
  <c r="CP42"/>
  <c r="P33" i="96"/>
  <c r="CQ35" i="3"/>
  <c r="CR35"/>
  <c r="CB96"/>
  <c r="CA115"/>
  <c r="CA95"/>
  <c r="CA102" s="1"/>
  <c r="CP33"/>
  <c r="CQ33"/>
  <c r="S31" i="96"/>
  <c r="E25"/>
  <c r="CS44" i="3"/>
  <c r="CW73"/>
  <c r="CW74" s="1"/>
  <c r="CP71"/>
  <c r="CP72" s="1"/>
  <c r="CZ46"/>
  <c r="CF113"/>
  <c r="CF87"/>
  <c r="CV27"/>
  <c r="CU27"/>
  <c r="CV30"/>
  <c r="CG97"/>
  <c r="BJ66"/>
  <c r="E31" i="22"/>
  <c r="C33"/>
  <c r="F31"/>
  <c r="C32"/>
  <c r="CH121" i="3"/>
  <c r="CW49"/>
  <c r="CX49"/>
  <c r="D35" i="22"/>
  <c r="E34"/>
  <c r="F34" s="1"/>
  <c r="BN66" i="3"/>
  <c r="BM66"/>
  <c r="CK121"/>
  <c r="DA49"/>
  <c r="CZ36"/>
  <c r="CQ55"/>
  <c r="CR55"/>
  <c r="H7" i="97"/>
  <c r="I7" s="1"/>
  <c r="S46" i="96"/>
  <c r="H46"/>
  <c r="F49"/>
  <c r="Y49"/>
  <c r="CH99" i="3"/>
  <c r="CX34"/>
  <c r="CW34"/>
  <c r="CV71"/>
  <c r="CV72" s="1"/>
  <c r="F48" i="96"/>
  <c r="E48"/>
  <c r="F59"/>
  <c r="F44"/>
  <c r="CT54" i="3"/>
  <c r="M16" i="96"/>
  <c r="E14" i="22"/>
  <c r="F14"/>
  <c r="CV44" i="3"/>
  <c r="CW44"/>
  <c r="F13" i="22"/>
  <c r="E13"/>
  <c r="M57" i="96"/>
  <c r="AB13"/>
  <c r="F13"/>
  <c r="Y13"/>
  <c r="CW42" i="3"/>
  <c r="CX42"/>
  <c r="S23" i="96"/>
  <c r="H23"/>
  <c r="CS50" i="3"/>
  <c r="CR50"/>
  <c r="J23" i="96"/>
  <c r="CB2" i="3"/>
  <c r="CB6" s="1"/>
  <c r="DA46"/>
  <c r="E18" i="96"/>
  <c r="AB30"/>
  <c r="M53"/>
  <c r="CD122" i="3"/>
  <c r="CS51"/>
  <c r="CT51"/>
  <c r="CH117"/>
  <c r="CX39"/>
  <c r="DK28" s="1"/>
  <c r="DJ29"/>
  <c r="DA37"/>
  <c r="CK116"/>
  <c r="CZ37"/>
  <c r="F43" i="96"/>
  <c r="V43"/>
  <c r="AB43"/>
  <c r="CA119" i="3"/>
  <c r="CP45"/>
  <c r="CQ45"/>
  <c r="S57" i="96"/>
  <c r="N36" i="22"/>
  <c r="D10" i="101" s="1"/>
  <c r="M36" i="22"/>
  <c r="D9" i="101"/>
  <c r="L37" i="22"/>
  <c r="M11"/>
  <c r="N11"/>
  <c r="F22"/>
  <c r="C26"/>
  <c r="C30"/>
  <c r="C28"/>
  <c r="C24"/>
  <c r="C35"/>
  <c r="E22"/>
  <c r="H56" i="96"/>
  <c r="J56"/>
  <c r="J18"/>
  <c r="CS45" i="3"/>
  <c r="CR45"/>
  <c r="CC119"/>
  <c r="P58" i="96"/>
  <c r="CQ31" i="3"/>
  <c r="CP31"/>
  <c r="CA114"/>
  <c r="CA94"/>
  <c r="CA100" s="1"/>
  <c r="E12" i="22"/>
  <c r="F12"/>
  <c r="CV48" i="3"/>
  <c r="CW48"/>
  <c r="E33" i="96"/>
  <c r="M50"/>
  <c r="H50"/>
  <c r="CP46" i="3"/>
  <c r="CQ46"/>
  <c r="CU36"/>
  <c r="CT36"/>
  <c r="M7" i="22"/>
  <c r="L8"/>
  <c r="N7"/>
  <c r="E4" i="101" s="1"/>
  <c r="E3"/>
  <c r="CQ53" i="3"/>
  <c r="CA123"/>
  <c r="CP53"/>
  <c r="CK113"/>
  <c r="CZ27"/>
  <c r="DA27"/>
  <c r="CK87"/>
  <c r="AB40" i="96"/>
  <c r="J46"/>
  <c r="CC3" i="3"/>
  <c r="CC21" s="1"/>
  <c r="CQ71"/>
  <c r="CU73"/>
  <c r="CU74" s="1"/>
  <c r="P16" i="96"/>
  <c r="S15"/>
  <c r="DA53" i="3"/>
  <c r="CL123"/>
  <c r="P15" i="96"/>
  <c r="H15"/>
  <c r="E19" i="22"/>
  <c r="F19"/>
  <c r="F69" i="31"/>
  <c r="I96" i="88"/>
  <c r="M13" i="22"/>
  <c r="N13"/>
  <c r="CQ43" i="3"/>
  <c r="CB118"/>
  <c r="CR43"/>
  <c r="CF88"/>
  <c r="CU29"/>
  <c r="CV29"/>
  <c r="J48" i="96"/>
  <c r="CG86" i="3"/>
  <c r="CV28"/>
  <c r="CT50"/>
  <c r="CU50"/>
  <c r="M23" i="96"/>
  <c r="CZ55" i="3"/>
  <c r="DA55"/>
  <c r="P41" i="96"/>
  <c r="F61"/>
  <c r="AB61"/>
  <c r="CT44" i="3"/>
  <c r="CU44"/>
  <c r="F23" i="22"/>
  <c r="D24"/>
  <c r="E23"/>
  <c r="M43" i="96"/>
  <c r="BK66" i="3"/>
  <c r="BL66"/>
  <c r="M24" i="96"/>
  <c r="CX55" i="3"/>
  <c r="CY55"/>
  <c r="H48" i="96"/>
  <c r="P48"/>
  <c r="CT57" i="3"/>
  <c r="CE124"/>
  <c r="CU57"/>
  <c r="M51" i="96"/>
  <c r="CD3" i="3"/>
  <c r="CD7" s="1"/>
  <c r="M34" i="22"/>
  <c r="N34"/>
  <c r="DA36" i="3"/>
  <c r="G5" i="101"/>
  <c r="D10" i="97"/>
  <c r="E10" s="1"/>
  <c r="G6" i="101" s="1"/>
  <c r="K10" i="97"/>
  <c r="CL3" i="3"/>
  <c r="CW28"/>
  <c r="CH86"/>
  <c r="CX28"/>
  <c r="CK96"/>
  <c r="CZ35"/>
  <c r="DA35"/>
  <c r="P23" i="96"/>
  <c r="CZ40" i="3"/>
  <c r="CW46"/>
  <c r="CQ37"/>
  <c r="CB116"/>
  <c r="CR37"/>
  <c r="CF116"/>
  <c r="CU37"/>
  <c r="CV37"/>
  <c r="J49" i="96"/>
  <c r="H43"/>
  <c r="P43"/>
  <c r="S43"/>
  <c r="DL29" i="3"/>
  <c r="CY39"/>
  <c r="DL28" s="1"/>
  <c r="CJ117"/>
  <c r="CZ39"/>
  <c r="DM28" s="1"/>
  <c r="J41" i="96"/>
  <c r="H11" i="97"/>
  <c r="I11" s="1"/>
  <c r="J11"/>
  <c r="E44" i="96"/>
  <c r="H45"/>
  <c r="P45"/>
  <c r="M45"/>
  <c r="H62"/>
  <c r="M62"/>
  <c r="S62"/>
  <c r="P62"/>
  <c r="J62"/>
  <c r="CV26" i="3"/>
  <c r="CG85"/>
  <c r="CW26"/>
  <c r="S16" i="96"/>
  <c r="AB18"/>
  <c r="CR40" i="3"/>
  <c r="CS40"/>
  <c r="CX41"/>
  <c r="CY41"/>
  <c r="S52" i="96"/>
  <c r="P21"/>
  <c r="E9" i="22"/>
  <c r="F9"/>
  <c r="CQ42" i="3"/>
  <c r="CR42"/>
  <c r="CE98"/>
  <c r="CT32"/>
  <c r="CU32"/>
  <c r="M20" i="22"/>
  <c r="N20"/>
  <c r="C41"/>
  <c r="E40"/>
  <c r="F40" s="1"/>
  <c r="L41"/>
  <c r="M40"/>
  <c r="J8" i="97"/>
  <c r="D8"/>
  <c r="E8" s="1"/>
  <c r="E6" i="101" s="1"/>
  <c r="CT52" i="3"/>
  <c r="CU52"/>
  <c r="F22" i="96"/>
  <c r="E22"/>
  <c r="AB22"/>
  <c r="Y22"/>
  <c r="Y43"/>
  <c r="H9" i="97"/>
  <c r="K9"/>
  <c r="DA41" i="3"/>
  <c r="E29" i="96"/>
  <c r="J57"/>
  <c r="H63"/>
  <c r="S63"/>
  <c r="P63"/>
  <c r="AB59"/>
  <c r="D7" i="97"/>
  <c r="E7" s="1"/>
  <c r="D6" i="101" s="1"/>
  <c r="K7" i="97"/>
  <c r="D5" i="101"/>
  <c r="M18" i="22"/>
  <c r="N18"/>
  <c r="CD98" i="3"/>
  <c r="CS32"/>
  <c r="F8" i="96"/>
  <c r="Y8"/>
  <c r="AB8"/>
  <c r="V8"/>
  <c r="P51"/>
  <c r="CF2" i="3"/>
  <c r="CJ121"/>
  <c r="CY49"/>
  <c r="CZ49"/>
  <c r="H90" i="88"/>
  <c r="CJ19" i="3"/>
  <c r="U63" i="96"/>
  <c r="CL40" i="3"/>
  <c r="D52" i="96"/>
  <c r="L58"/>
  <c r="BS28" i="3"/>
  <c r="R19" i="96"/>
  <c r="L29"/>
  <c r="I33"/>
  <c r="AA7"/>
  <c r="X15"/>
  <c r="C50"/>
  <c r="AA32"/>
  <c r="AA58"/>
  <c r="O46"/>
  <c r="AA37"/>
  <c r="X45"/>
  <c r="X44"/>
  <c r="D59"/>
  <c r="X30"/>
  <c r="U49"/>
  <c r="U46"/>
  <c r="G8"/>
  <c r="CD47" i="3"/>
  <c r="I9" i="96"/>
  <c r="BR16" i="3"/>
  <c r="L35" i="96"/>
  <c r="G13"/>
  <c r="U18"/>
  <c r="X40"/>
  <c r="R32"/>
  <c r="L64"/>
  <c r="D61"/>
  <c r="BJ27" i="3"/>
  <c r="O12" i="96"/>
  <c r="BJ17" i="3"/>
  <c r="G11" i="96"/>
  <c r="X59"/>
  <c r="CF46" i="3"/>
  <c r="AA38" i="96"/>
  <c r="AA24"/>
  <c r="L30"/>
  <c r="C58"/>
  <c r="CA77" i="3"/>
  <c r="BL26"/>
  <c r="O56" i="96"/>
  <c r="O50"/>
  <c r="R10"/>
  <c r="AA11"/>
  <c r="O9"/>
  <c r="D27"/>
  <c r="BI27" i="3"/>
  <c r="X63" i="96"/>
  <c r="X7"/>
  <c r="I50"/>
  <c r="L36"/>
  <c r="BH21" i="3"/>
  <c r="BK30"/>
  <c r="R20" i="96"/>
  <c r="BH20" i="3"/>
  <c r="BJ20"/>
  <c r="I60" i="96"/>
  <c r="BK29" i="3"/>
  <c r="R60" i="96"/>
  <c r="AA31"/>
  <c r="C54"/>
  <c r="CI51" i="3"/>
  <c r="C12" i="96"/>
  <c r="U42"/>
  <c r="D47"/>
  <c r="L11"/>
  <c r="R49"/>
  <c r="BQ15" i="3"/>
  <c r="U11" i="96"/>
  <c r="D43"/>
  <c r="I63"/>
  <c r="CI57" i="3"/>
  <c r="I10" i="96"/>
  <c r="X48"/>
  <c r="BM19" i="3"/>
  <c r="BI24"/>
  <c r="BJ28"/>
  <c r="BP24"/>
  <c r="BL22"/>
  <c r="BK20"/>
  <c r="CE67"/>
  <c r="L55" i="96"/>
  <c r="C6"/>
  <c r="CB66" i="3"/>
  <c r="BJ23"/>
  <c r="R42" i="96"/>
  <c r="U24"/>
  <c r="C64"/>
  <c r="D63"/>
  <c r="BS19" i="3"/>
  <c r="I11" i="96"/>
  <c r="BS29" i="3"/>
  <c r="BN25"/>
  <c r="BN16"/>
  <c r="BM30"/>
  <c r="G10" i="96"/>
  <c r="BP20" i="3"/>
  <c r="U9" i="96"/>
  <c r="L9"/>
  <c r="BS30" i="3"/>
  <c r="BO28"/>
  <c r="BI19"/>
  <c r="BR18"/>
  <c r="BR25"/>
  <c r="BH16"/>
  <c r="BH23"/>
  <c r="BQ28"/>
  <c r="C60" i="96"/>
  <c r="BJ26" i="3"/>
  <c r="BR26"/>
  <c r="BK28"/>
  <c r="BM26"/>
  <c r="BP23"/>
  <c r="BK24"/>
  <c r="BJ30"/>
  <c r="BR28"/>
  <c r="BN24"/>
  <c r="O60" i="96"/>
  <c r="BO21" i="3"/>
  <c r="BK19"/>
  <c r="CC54"/>
  <c r="AA42" i="96"/>
  <c r="CF40" i="3"/>
  <c r="BN26"/>
  <c r="U38" i="96"/>
  <c r="D12"/>
  <c r="BJ24" i="3"/>
  <c r="D46" i="96"/>
  <c r="L17"/>
  <c r="I42"/>
  <c r="BN28" i="3"/>
  <c r="BO22"/>
  <c r="L15" i="96"/>
  <c r="O39"/>
  <c r="U58"/>
  <c r="I38"/>
  <c r="C56"/>
  <c r="CL66" i="3"/>
  <c r="I43" i="96"/>
  <c r="R38"/>
  <c r="I54"/>
  <c r="BL30" i="3"/>
  <c r="G35" i="96"/>
  <c r="BS17" i="3"/>
  <c r="BI18"/>
  <c r="C34" i="96"/>
  <c r="C17"/>
  <c r="X37"/>
  <c r="G27"/>
  <c r="D28"/>
  <c r="O44"/>
  <c r="CG53" i="3"/>
  <c r="BH22"/>
  <c r="G36" i="96"/>
  <c r="BS22" i="3"/>
  <c r="BR29"/>
  <c r="R34" i="96"/>
  <c r="X61"/>
  <c r="BM20" i="3"/>
  <c r="BS26"/>
  <c r="X9" i="96"/>
  <c r="BO23" i="3"/>
  <c r="BR27"/>
  <c r="BI16"/>
  <c r="BQ21"/>
  <c r="BN18"/>
  <c r="BN21"/>
  <c r="BQ29"/>
  <c r="BR22"/>
  <c r="BI15"/>
  <c r="I27" i="96"/>
  <c r="AA35"/>
  <c r="I35"/>
  <c r="BS21" i="3"/>
  <c r="C42" i="96"/>
  <c r="D26"/>
  <c r="AA64"/>
  <c r="D31"/>
  <c r="U17"/>
  <c r="I24"/>
  <c r="AA21"/>
  <c r="O42"/>
  <c r="I61"/>
  <c r="X55"/>
  <c r="D34"/>
  <c r="I26"/>
  <c r="R37"/>
  <c r="U22"/>
  <c r="C16"/>
  <c r="BP18" i="3"/>
  <c r="R30" i="96"/>
  <c r="R39"/>
  <c r="AA27"/>
  <c r="C63"/>
  <c r="X20"/>
  <c r="AA56"/>
  <c r="AA26"/>
  <c r="C35"/>
  <c r="BH15" i="3"/>
  <c r="BP16"/>
  <c r="CJ56"/>
  <c r="BK17"/>
  <c r="CD65"/>
  <c r="BS27"/>
  <c r="D9" i="96"/>
  <c r="BO29" i="3"/>
  <c r="G25" i="96"/>
  <c r="CI40" i="3"/>
  <c r="BL20"/>
  <c r="CJ44"/>
  <c r="X32" i="96"/>
  <c r="BK26" i="3"/>
  <c r="D6" i="96"/>
  <c r="C23"/>
  <c r="G59"/>
  <c r="G64"/>
  <c r="BH25" i="3"/>
  <c r="BQ19"/>
  <c r="AA33" i="96"/>
  <c r="L63"/>
  <c r="L61"/>
  <c r="I16"/>
  <c r="U19"/>
  <c r="D17"/>
  <c r="R48"/>
  <c r="D35"/>
  <c r="BN29" i="3"/>
  <c r="C41" i="96"/>
  <c r="C51"/>
  <c r="BR17" i="3"/>
  <c r="BO17"/>
  <c r="BI23"/>
  <c r="L21" i="96"/>
  <c r="BS16" i="3"/>
  <c r="R11" i="96"/>
  <c r="AA20"/>
  <c r="D13"/>
  <c r="O59"/>
  <c r="BM24" i="3"/>
  <c r="I15" i="96"/>
  <c r="D32"/>
  <c r="O52"/>
  <c r="C47"/>
  <c r="BL27" i="3"/>
  <c r="BQ20"/>
  <c r="BH19"/>
  <c r="BO26"/>
  <c r="BH27"/>
  <c r="CC26"/>
  <c r="C13" i="97"/>
  <c r="BR20" i="3"/>
  <c r="BK16"/>
  <c r="AA16" i="96"/>
  <c r="X27"/>
  <c r="BM17" i="3"/>
  <c r="U44" i="96"/>
  <c r="BL24" i="3"/>
  <c r="BI29"/>
  <c r="U10" i="96"/>
  <c r="X60"/>
  <c r="BJ25" i="3"/>
  <c r="C24" i="96"/>
  <c r="BI21" i="3"/>
  <c r="BK21"/>
  <c r="BJ18"/>
  <c r="D11" i="96"/>
  <c r="BQ27" i="3"/>
  <c r="BL29"/>
  <c r="BS24"/>
  <c r="BO30"/>
  <c r="BN30"/>
  <c r="BP15"/>
  <c r="BR23"/>
  <c r="BQ22"/>
  <c r="C11" i="96"/>
  <c r="BH30" i="3"/>
  <c r="BO25"/>
  <c r="BO19"/>
  <c r="BR30"/>
  <c r="BJ19"/>
  <c r="BL16"/>
  <c r="BK25"/>
  <c r="BK27"/>
  <c r="BH29"/>
  <c r="BS20"/>
  <c r="BJ15"/>
  <c r="BS15"/>
  <c r="C10" i="96"/>
  <c r="BO20" i="3"/>
  <c r="BO15"/>
  <c r="BS18"/>
  <c r="C27" i="96"/>
  <c r="C7"/>
  <c r="G39"/>
  <c r="U32"/>
  <c r="BN19" i="3"/>
  <c r="CF59"/>
  <c r="U61" i="96"/>
  <c r="G38"/>
  <c r="BL23" i="3"/>
  <c r="O7" i="96"/>
  <c r="X31"/>
  <c r="R53"/>
  <c r="L31"/>
  <c r="AA47"/>
  <c r="L32"/>
  <c r="BR24" i="3"/>
  <c r="L49" i="96"/>
  <c r="C53"/>
  <c r="D62"/>
  <c r="BL19" i="3"/>
  <c r="O55" i="96"/>
  <c r="I32"/>
  <c r="AA51"/>
  <c r="BL28" i="3"/>
  <c r="BI17"/>
  <c r="BP19"/>
  <c r="CG47"/>
  <c r="BM25"/>
  <c r="BJ22"/>
  <c r="I64" i="96"/>
  <c r="O27"/>
  <c r="BQ26" i="3"/>
  <c r="BQ23"/>
  <c r="U60" i="96"/>
  <c r="BI28" i="3"/>
  <c r="BI26"/>
  <c r="BP29"/>
  <c r="BM16"/>
  <c r="BQ17"/>
  <c r="BP26"/>
  <c r="BM18"/>
  <c r="I44" i="96"/>
  <c r="BJ16" i="3"/>
  <c r="L48" i="96"/>
  <c r="R61"/>
  <c r="D21"/>
  <c r="U48"/>
  <c r="R35"/>
  <c r="BH26" i="3"/>
  <c r="O28" i="96"/>
  <c r="AA49"/>
  <c r="AA10"/>
  <c r="BI20" i="3"/>
  <c r="G30" i="96"/>
  <c r="G60"/>
  <c r="BL21" i="3"/>
  <c r="X53" i="96"/>
  <c r="D15"/>
  <c r="BL17" i="3"/>
  <c r="D49" i="96"/>
  <c r="R41"/>
  <c r="O53"/>
  <c r="AA29"/>
  <c r="G7"/>
  <c r="CG39" i="3"/>
  <c r="C26" i="96"/>
  <c r="G55"/>
  <c r="G61"/>
  <c r="AA41"/>
  <c r="C39"/>
  <c r="X35"/>
  <c r="BP28" i="3"/>
  <c r="I6" i="96"/>
  <c r="BI22" i="3"/>
  <c r="AA60" i="96"/>
  <c r="BH24" i="3"/>
  <c r="G9" i="96"/>
  <c r="BN22" i="3"/>
  <c r="I34" i="96"/>
  <c r="D45"/>
  <c r="G47"/>
  <c r="G40"/>
  <c r="O40"/>
  <c r="G19"/>
  <c r="X39"/>
  <c r="R56"/>
  <c r="O49"/>
  <c r="C62"/>
  <c r="U12"/>
  <c r="C36"/>
  <c r="O18"/>
  <c r="AA39"/>
  <c r="X17"/>
  <c r="D19"/>
  <c r="BP30" i="3"/>
  <c r="CG68"/>
  <c r="U27" i="96"/>
  <c r="U13"/>
  <c r="I20"/>
  <c r="AA44"/>
  <c r="AA48"/>
  <c r="I51"/>
  <c r="X38"/>
  <c r="L18"/>
  <c r="R58"/>
  <c r="R44"/>
  <c r="BP27" i="3"/>
  <c r="C31" i="96"/>
  <c r="BR21" i="3"/>
  <c r="D60" i="96"/>
  <c r="BN17" i="3"/>
  <c r="C46" i="96"/>
  <c r="BK18" i="3"/>
  <c r="I45" i="96"/>
  <c r="L22" i="22"/>
  <c r="C21" i="96"/>
  <c r="C19"/>
  <c r="R45"/>
  <c r="L40"/>
  <c r="L52"/>
  <c r="C57"/>
  <c r="X28"/>
  <c r="BK22" i="3"/>
  <c r="BO18"/>
  <c r="X33" i="96"/>
  <c r="O11"/>
  <c r="BK15" i="3"/>
  <c r="BS23"/>
  <c r="BN27"/>
  <c r="O10" i="96"/>
  <c r="BO24" i="3"/>
  <c r="BL18"/>
  <c r="BH17"/>
  <c r="X10" i="96"/>
  <c r="BM15" i="3"/>
  <c r="BO27"/>
  <c r="L10" i="96"/>
  <c r="BR15" i="3"/>
  <c r="BP22"/>
  <c r="BH28"/>
  <c r="BP21"/>
  <c r="BJ21"/>
  <c r="BM21"/>
  <c r="BQ18"/>
  <c r="BH18"/>
  <c r="BN23"/>
  <c r="BM22"/>
  <c r="BK23"/>
  <c r="BP25"/>
  <c r="BM29"/>
  <c r="BQ30"/>
  <c r="BQ25"/>
  <c r="BP17"/>
  <c r="BO16"/>
  <c r="BS25"/>
  <c r="L12" i="96"/>
  <c r="X6"/>
  <c r="I7"/>
  <c r="D8"/>
  <c r="U40"/>
  <c r="G13" i="97"/>
  <c r="I53" i="96"/>
  <c r="BL25" i="3"/>
  <c r="BM27"/>
  <c r="AA9" i="96"/>
  <c r="I39"/>
  <c r="BQ24" i="3"/>
  <c r="U28" i="96"/>
  <c r="X56"/>
  <c r="C20"/>
  <c r="L22"/>
  <c r="BN20" i="3"/>
  <c r="BI25"/>
  <c r="X11" i="96"/>
  <c r="I25"/>
  <c r="BR19" i="3"/>
  <c r="BL15"/>
  <c r="L46" i="96"/>
  <c r="O24"/>
  <c r="X46"/>
  <c r="AA17"/>
  <c r="BQ16" i="3"/>
  <c r="BJ29"/>
  <c r="BM28"/>
  <c r="BM23"/>
  <c r="BI30"/>
  <c r="R9" i="96"/>
  <c r="D10"/>
  <c r="BN15" i="3"/>
  <c r="L60" i="96"/>
  <c r="C9"/>
  <c r="I36" i="24" l="1"/>
  <c r="F100"/>
  <c r="K69" i="28"/>
  <c r="J81" i="37"/>
  <c r="G87" i="31"/>
  <c r="CE14" i="3"/>
  <c r="I5" i="24"/>
  <c r="L66" i="88"/>
  <c r="CK6" i="3"/>
  <c r="N66" i="88"/>
  <c r="N75"/>
  <c r="K69" i="37"/>
  <c r="L84" i="28"/>
  <c r="CI100" i="3"/>
  <c r="E72" i="31"/>
  <c r="G90" i="88"/>
  <c r="L66" i="31"/>
  <c r="CI103" i="3"/>
  <c r="CD20"/>
  <c r="CH92"/>
  <c r="H84" i="28"/>
  <c r="J106" i="24"/>
  <c r="L101"/>
  <c r="I102" i="88"/>
  <c r="N72" i="37"/>
  <c r="M87" i="31"/>
  <c r="J47" i="24"/>
  <c r="F25"/>
  <c r="M75" i="88"/>
  <c r="K99"/>
  <c r="G66" i="28"/>
  <c r="O22" i="24"/>
  <c r="H66" i="88"/>
  <c r="H56" i="24"/>
  <c r="E69" i="28"/>
  <c r="D78" i="37"/>
  <c r="O18" i="24"/>
  <c r="I66" i="28"/>
  <c r="L55" i="24"/>
  <c r="I92"/>
  <c r="K63" i="37"/>
  <c r="I99" i="88"/>
  <c r="M81"/>
  <c r="J90" i="37"/>
  <c r="H77" i="24"/>
  <c r="K14"/>
  <c r="O7"/>
  <c r="L94"/>
  <c r="N87" i="31"/>
  <c r="G17" i="24"/>
  <c r="N93" i="28"/>
  <c r="J78" i="88"/>
  <c r="K33" i="24"/>
  <c r="I81" i="37"/>
  <c r="G70" i="24"/>
  <c r="K75" i="37"/>
  <c r="L8" i="24"/>
  <c r="D66" i="37"/>
  <c r="J102"/>
  <c r="CC91" i="3"/>
  <c r="K90" i="37"/>
  <c r="K87" i="31"/>
  <c r="CK18" i="3"/>
  <c r="CE92"/>
  <c r="F59" i="24"/>
  <c r="J75" i="37"/>
  <c r="D15" i="24"/>
  <c r="J30"/>
  <c r="D71"/>
  <c r="D102" i="31"/>
  <c r="F53" i="24"/>
  <c r="L52"/>
  <c r="F105" i="37"/>
  <c r="G59" i="24"/>
  <c r="F63" i="31"/>
  <c r="K7" i="24"/>
  <c r="D72" i="31"/>
  <c r="L78" i="88"/>
  <c r="M19" i="24"/>
  <c r="G48"/>
  <c r="L106"/>
  <c r="I72" i="37"/>
  <c r="L71" i="24"/>
  <c r="E87" i="31"/>
  <c r="N54" i="24"/>
  <c r="F99" i="37"/>
  <c r="H90" i="31"/>
  <c r="M69"/>
  <c r="N78" i="37"/>
  <c r="I90" i="28"/>
  <c r="I108" i="31"/>
  <c r="J102"/>
  <c r="D106" i="24"/>
  <c r="H76"/>
  <c r="M25"/>
  <c r="D101"/>
  <c r="J63" i="31"/>
  <c r="N102" i="28"/>
  <c r="M72"/>
  <c r="K105" i="37"/>
  <c r="K84" i="28"/>
  <c r="J46" i="24"/>
  <c r="M69" i="37"/>
  <c r="M66" i="88"/>
  <c r="I28" i="24"/>
  <c r="D63" i="28"/>
  <c r="O69" i="88"/>
  <c r="L90" i="28"/>
  <c r="J59" i="24"/>
  <c r="K87" i="28"/>
  <c r="M99" i="37"/>
  <c r="D69"/>
  <c r="M108" i="88"/>
  <c r="M18" i="24"/>
  <c r="N64"/>
  <c r="G69" i="37"/>
  <c r="CK22" i="3"/>
  <c r="N108" i="88"/>
  <c r="N29" i="24"/>
  <c r="F102" i="88"/>
  <c r="H69" i="37"/>
  <c r="N77" i="24"/>
  <c r="M87" i="88"/>
  <c r="H75" i="37"/>
  <c r="L108"/>
  <c r="D93" i="88"/>
  <c r="D43" i="24"/>
  <c r="K30"/>
  <c r="H90" i="28"/>
  <c r="D82" i="24"/>
  <c r="G88"/>
  <c r="I33"/>
  <c r="M5"/>
  <c r="M93" i="88"/>
  <c r="K55" i="24"/>
  <c r="F105" i="31"/>
  <c r="K107" i="24"/>
  <c r="M102" i="31"/>
  <c r="D90" i="28"/>
  <c r="H81" i="37"/>
  <c r="L63" i="88"/>
  <c r="O75"/>
  <c r="L14" i="24"/>
  <c r="E37" i="22"/>
  <c r="K52" i="24"/>
  <c r="N78" i="31"/>
  <c r="D102" i="37"/>
  <c r="O37" i="24"/>
  <c r="O21"/>
  <c r="CD92" i="3"/>
  <c r="D96" i="37"/>
  <c r="O69"/>
  <c r="D63" i="31"/>
  <c r="E66" i="37"/>
  <c r="I87" i="31"/>
  <c r="M48" i="24"/>
  <c r="L93" i="28"/>
  <c r="E71" i="24"/>
  <c r="E78" i="88"/>
  <c r="I10" i="24"/>
  <c r="F16"/>
  <c r="L87" i="31"/>
  <c r="H93" i="88"/>
  <c r="L21" i="24"/>
  <c r="J70"/>
  <c r="I101"/>
  <c r="D42"/>
  <c r="J96" i="31"/>
  <c r="F105" i="88"/>
  <c r="J66" i="28"/>
  <c r="E99"/>
  <c r="G78" i="31"/>
  <c r="G69"/>
  <c r="H93"/>
  <c r="J78"/>
  <c r="CE6" i="3"/>
  <c r="I106" i="24"/>
  <c r="O67"/>
  <c r="O65"/>
  <c r="K87" i="88"/>
  <c r="K68" i="24"/>
  <c r="E61"/>
  <c r="CE18" i="3"/>
  <c r="M102" i="28"/>
  <c r="M96"/>
  <c r="E26" i="24"/>
  <c r="F90" i="28"/>
  <c r="M66" i="31"/>
  <c r="O66"/>
  <c r="L102" i="28"/>
  <c r="G104" i="24"/>
  <c r="I53"/>
  <c r="L69" i="31"/>
  <c r="J81" i="28"/>
  <c r="M94" i="24"/>
  <c r="G90" i="37"/>
  <c r="E86" i="24"/>
  <c r="E82"/>
  <c r="G75" i="37"/>
  <c r="O72" i="88"/>
  <c r="D108"/>
  <c r="O81" i="31"/>
  <c r="M26" i="24"/>
  <c r="H81" i="28"/>
  <c r="D99" i="37"/>
  <c r="CE10" i="3"/>
  <c r="G72" i="28"/>
  <c r="K58" i="24"/>
  <c r="K106"/>
  <c r="K108" s="1"/>
  <c r="G35"/>
  <c r="N61"/>
  <c r="G29"/>
  <c r="H55"/>
  <c r="D93" i="37"/>
  <c r="H81" i="88"/>
  <c r="O78" i="31"/>
  <c r="D18" i="24"/>
  <c r="H8"/>
  <c r="D36"/>
  <c r="L81" i="37"/>
  <c r="K26" i="24"/>
  <c r="F82"/>
  <c r="D22"/>
  <c r="H84" i="37"/>
  <c r="O66"/>
  <c r="CE16" i="3"/>
  <c r="CE12"/>
  <c r="CE4"/>
  <c r="G50" i="24"/>
  <c r="H31"/>
  <c r="E6"/>
  <c r="G78" i="88"/>
  <c r="L63" i="31"/>
  <c r="L62" i="24"/>
  <c r="K81" i="88"/>
  <c r="J90"/>
  <c r="D72" i="37"/>
  <c r="F78" i="88"/>
  <c r="E44" i="24"/>
  <c r="K19"/>
  <c r="H6"/>
  <c r="K46"/>
  <c r="L63" i="37"/>
  <c r="E53" i="24"/>
  <c r="E31"/>
  <c r="I82"/>
  <c r="J83"/>
  <c r="H41"/>
  <c r="K98"/>
  <c r="I75" i="37"/>
  <c r="O89" i="24"/>
  <c r="E93" i="88"/>
  <c r="L4" i="24"/>
  <c r="E108" i="31"/>
  <c r="O56" i="24"/>
  <c r="I93" i="28"/>
  <c r="O101" i="24"/>
  <c r="L99" i="31"/>
  <c r="G96"/>
  <c r="E43" i="24"/>
  <c r="D13"/>
  <c r="I96" i="37"/>
  <c r="G49" i="24"/>
  <c r="H11"/>
  <c r="D93" i="31"/>
  <c r="G57" i="24"/>
  <c r="F78" i="28"/>
  <c r="D102" i="88"/>
  <c r="L6" i="24"/>
  <c r="G75" i="31"/>
  <c r="D40" i="24"/>
  <c r="F104"/>
  <c r="F105" s="1"/>
  <c r="J14"/>
  <c r="K29"/>
  <c r="L93" i="37"/>
  <c r="K102" i="88"/>
  <c r="G15" i="24"/>
  <c r="O12"/>
  <c r="F108" i="88"/>
  <c r="L78" i="28"/>
  <c r="O8" i="24"/>
  <c r="O105" i="88"/>
  <c r="H48" i="24"/>
  <c r="H72" i="88"/>
  <c r="O81" i="37"/>
  <c r="G71" i="24"/>
  <c r="L47"/>
  <c r="E107"/>
  <c r="L10"/>
  <c r="D96" i="88"/>
  <c r="I81"/>
  <c r="F33" i="24"/>
  <c r="K8"/>
  <c r="K23"/>
  <c r="N6"/>
  <c r="O41"/>
  <c r="K69" i="31"/>
  <c r="N56" i="24"/>
  <c r="N12"/>
  <c r="M63" i="88"/>
  <c r="N75" i="37"/>
  <c r="L81" i="31"/>
  <c r="G61" i="24"/>
  <c r="L81" i="28"/>
  <c r="L37" i="24"/>
  <c r="F90" i="31"/>
  <c r="H97" i="24"/>
  <c r="I50"/>
  <c r="M105" i="37"/>
  <c r="M37" i="24"/>
  <c r="CK101" i="3"/>
  <c r="H72" i="28"/>
  <c r="F14" i="24"/>
  <c r="O108" i="37"/>
  <c r="I81" i="31"/>
  <c r="E63" i="37"/>
  <c r="F88" i="24"/>
  <c r="F90" i="88"/>
  <c r="O90"/>
  <c r="E50" i="24"/>
  <c r="I44"/>
  <c r="G6"/>
  <c r="I63" i="31"/>
  <c r="G14" i="24"/>
  <c r="N90" i="31"/>
  <c r="L65" i="24"/>
  <c r="L12"/>
  <c r="M14"/>
  <c r="L54"/>
  <c r="H84" i="88"/>
  <c r="F66"/>
  <c r="M98" i="24"/>
  <c r="E32"/>
  <c r="I55"/>
  <c r="D72" i="28"/>
  <c r="O32" i="24"/>
  <c r="L75" i="31"/>
  <c r="J21" i="24"/>
  <c r="K84" i="88"/>
  <c r="F37" i="24"/>
  <c r="F75" i="31"/>
  <c r="L84" i="88"/>
  <c r="CL102" i="3"/>
  <c r="L96" i="28"/>
  <c r="L49" i="24"/>
  <c r="E23"/>
  <c r="K65"/>
  <c r="O71"/>
  <c r="D29"/>
  <c r="K40"/>
  <c r="K41"/>
  <c r="E68"/>
  <c r="F65"/>
  <c r="H18"/>
  <c r="H92"/>
  <c r="D99" i="31"/>
  <c r="I30" i="24"/>
  <c r="O96" i="28"/>
  <c r="N96" i="88"/>
  <c r="L108" i="31"/>
  <c r="I108" i="28"/>
  <c r="I75" i="88"/>
  <c r="O78" i="37"/>
  <c r="M96"/>
  <c r="O105" i="28"/>
  <c r="K27" i="24"/>
  <c r="K13"/>
  <c r="L30"/>
  <c r="F83"/>
  <c r="D84" i="31"/>
  <c r="J81"/>
  <c r="CK100" i="3"/>
  <c r="L96" i="31"/>
  <c r="N84"/>
  <c r="F13" i="24"/>
  <c r="J52"/>
  <c r="K96" i="88"/>
  <c r="F92" i="24"/>
  <c r="D76"/>
  <c r="F74"/>
  <c r="E37"/>
  <c r="E66" i="88"/>
  <c r="I75" i="31"/>
  <c r="K17" i="24"/>
  <c r="CL92" i="3"/>
  <c r="O31" i="24"/>
  <c r="H27"/>
  <c r="O84" i="31"/>
  <c r="O51" i="24"/>
  <c r="K32"/>
  <c r="O87" i="28"/>
  <c r="D28" i="24"/>
  <c r="K36"/>
  <c r="L108" i="88"/>
  <c r="H73" i="24"/>
  <c r="M106"/>
  <c r="I97"/>
  <c r="CE20" i="3"/>
  <c r="CE8"/>
  <c r="CH103"/>
  <c r="F63" i="88"/>
  <c r="N19" i="24"/>
  <c r="N84" i="88"/>
  <c r="D103" i="24"/>
  <c r="O70"/>
  <c r="O69" i="28"/>
  <c r="H29" i="24"/>
  <c r="L44"/>
  <c r="D11"/>
  <c r="H72" i="31"/>
  <c r="D87" i="88"/>
  <c r="N108" i="28"/>
  <c r="N108" i="37"/>
  <c r="O30" i="24"/>
  <c r="O9"/>
  <c r="K34"/>
  <c r="E48"/>
  <c r="G105" i="28"/>
  <c r="D67" i="24"/>
  <c r="J96" i="28"/>
  <c r="D52" i="24"/>
  <c r="K99" i="31"/>
  <c r="G98" i="24"/>
  <c r="F87" i="88"/>
  <c r="N63" i="28"/>
  <c r="N88" i="24"/>
  <c r="N53"/>
  <c r="G80"/>
  <c r="N27"/>
  <c r="H30"/>
  <c r="I84" i="28"/>
  <c r="D12" i="24"/>
  <c r="H69" i="88"/>
  <c r="N105" i="31"/>
  <c r="H105" i="28"/>
  <c r="N49" i="24"/>
  <c r="D26"/>
  <c r="J87" i="28"/>
  <c r="O96" i="31"/>
  <c r="H35" i="24"/>
  <c r="E59"/>
  <c r="I99" i="37"/>
  <c r="F75" i="88"/>
  <c r="N69"/>
  <c r="G25" i="24"/>
  <c r="H78" i="88"/>
  <c r="M74" i="24"/>
  <c r="O26"/>
  <c r="E7"/>
  <c r="J87" i="88"/>
  <c r="L72" i="31"/>
  <c r="D24" i="24"/>
  <c r="G42"/>
  <c r="E90" i="88"/>
  <c r="M105" i="28"/>
  <c r="K87" i="37"/>
  <c r="H17" i="24"/>
  <c r="O74"/>
  <c r="N35"/>
  <c r="O93" i="28"/>
  <c r="O39" i="24"/>
  <c r="E95"/>
  <c r="D54"/>
  <c r="E99" i="37"/>
  <c r="E78" i="28"/>
  <c r="N22" i="24"/>
  <c r="G77"/>
  <c r="F72" i="88"/>
  <c r="G39" i="24"/>
  <c r="F99" i="88"/>
  <c r="N81" i="28"/>
  <c r="E77" i="24"/>
  <c r="L102" i="31"/>
  <c r="H25" i="24"/>
  <c r="D35"/>
  <c r="I69" i="31"/>
  <c r="F93" i="28"/>
  <c r="F72" i="31"/>
  <c r="E84"/>
  <c r="H85" i="24"/>
  <c r="K66" i="37"/>
  <c r="J108" i="88"/>
  <c r="J69" i="31"/>
  <c r="N66"/>
  <c r="J26" i="24"/>
  <c r="M22"/>
  <c r="L75" i="28"/>
  <c r="N25" i="24"/>
  <c r="G72" i="31"/>
  <c r="K66"/>
  <c r="E102" i="37"/>
  <c r="N66"/>
  <c r="L99" i="88"/>
  <c r="O86" i="24"/>
  <c r="G73"/>
  <c r="D81" i="28"/>
  <c r="G8" i="24"/>
  <c r="J84" i="37"/>
  <c r="N50" i="24"/>
  <c r="F99" i="28"/>
  <c r="H78" i="31"/>
  <c r="CH15" i="3"/>
  <c r="O62" i="24"/>
  <c r="E67"/>
  <c r="E69" s="1"/>
  <c r="L19"/>
  <c r="H99" i="37"/>
  <c r="I90" i="31"/>
  <c r="I25" i="24"/>
  <c r="K31"/>
  <c r="E69" i="31"/>
  <c r="D81" i="88"/>
  <c r="O99" i="28"/>
  <c r="E104" i="24"/>
  <c r="M72" i="31"/>
  <c r="F64" i="24"/>
  <c r="M95"/>
  <c r="J80"/>
  <c r="CD4" i="3"/>
  <c r="CD8"/>
  <c r="M28" i="24"/>
  <c r="CH17" i="3"/>
  <c r="M70" i="24"/>
  <c r="CG104" i="3"/>
  <c r="N40" i="24"/>
  <c r="H88"/>
  <c r="J19"/>
  <c r="K64"/>
  <c r="K66" s="1"/>
  <c r="L72" i="37"/>
  <c r="N99" i="31"/>
  <c r="L50" i="24"/>
  <c r="J74"/>
  <c r="H72" i="37"/>
  <c r="D77" i="24"/>
  <c r="M8"/>
  <c r="K6"/>
  <c r="H46"/>
  <c r="J75" i="31"/>
  <c r="M20" i="24"/>
  <c r="O94"/>
  <c r="I75" i="28"/>
  <c r="F23" i="24"/>
  <c r="M38"/>
  <c r="H51"/>
  <c r="M84" i="37"/>
  <c r="G108" i="31"/>
  <c r="I93" i="37"/>
  <c r="M56" i="24"/>
  <c r="F87" i="28"/>
  <c r="J63" i="88"/>
  <c r="I107" i="24"/>
  <c r="I105" i="88"/>
  <c r="I7" i="24"/>
  <c r="D108" i="37"/>
  <c r="J92" i="24"/>
  <c r="M36"/>
  <c r="L51"/>
  <c r="M75" i="31"/>
  <c r="M108" i="28"/>
  <c r="G99" i="37"/>
  <c r="I78"/>
  <c r="I93" i="31"/>
  <c r="K72" i="37"/>
  <c r="O75" i="31"/>
  <c r="J45" i="24"/>
  <c r="D61"/>
  <c r="J78" i="28"/>
  <c r="M108" i="37"/>
  <c r="J24" i="24"/>
  <c r="O75" i="28"/>
  <c r="M78"/>
  <c r="G99"/>
  <c r="E108" i="37"/>
  <c r="K78" i="28"/>
  <c r="D75" i="31"/>
  <c r="N34" i="24"/>
  <c r="J84" i="28"/>
  <c r="O63" i="37"/>
  <c r="F84" i="28"/>
  <c r="I80" i="24"/>
  <c r="CL103" i="3"/>
  <c r="BZ24"/>
  <c r="I64" i="24"/>
  <c r="I66" i="31"/>
  <c r="CJ13" i="3"/>
  <c r="CJ5"/>
  <c r="F72" i="37"/>
  <c r="F70" i="24"/>
  <c r="D84" i="37"/>
  <c r="D83" i="24"/>
  <c r="F99" i="31"/>
  <c r="F97" i="24"/>
  <c r="CK10" i="3"/>
  <c r="CK16"/>
  <c r="CK20"/>
  <c r="CK12"/>
  <c r="H32" i="24"/>
  <c r="BZ115" i="3"/>
  <c r="K56" i="24"/>
  <c r="D81" i="31"/>
  <c r="N26" i="24"/>
  <c r="K81" i="37"/>
  <c r="L53" i="24"/>
  <c r="D81" i="37"/>
  <c r="G96"/>
  <c r="F15" i="24"/>
  <c r="D66" i="28"/>
  <c r="D64" i="24"/>
  <c r="M69" i="28"/>
  <c r="M67" i="24"/>
  <c r="I63" i="28"/>
  <c r="I61" i="24"/>
  <c r="H70"/>
  <c r="D69" i="31"/>
  <c r="F106" i="24"/>
  <c r="H68"/>
  <c r="E42"/>
  <c r="I78" i="31"/>
  <c r="H39" i="24"/>
  <c r="O90" i="28"/>
  <c r="M86" i="24"/>
  <c r="K99" i="28"/>
  <c r="CK14" i="3"/>
  <c r="G106" i="24"/>
  <c r="CK4" i="3"/>
  <c r="F108" i="28"/>
  <c r="O96" i="37"/>
  <c r="I108"/>
  <c r="CJ9" i="3"/>
  <c r="CD101"/>
  <c r="BZ114"/>
  <c r="I95" i="24"/>
  <c r="L40"/>
  <c r="K63" i="28"/>
  <c r="M46" i="24"/>
  <c r="D20"/>
  <c r="N96" i="28"/>
  <c r="G28" i="24"/>
  <c r="E87" i="88"/>
  <c r="O66"/>
  <c r="J58" i="24"/>
  <c r="F57"/>
  <c r="G31"/>
  <c r="H5"/>
  <c r="D48"/>
  <c r="E97"/>
  <c r="E89"/>
  <c r="L93" i="88"/>
  <c r="E13" i="24"/>
  <c r="E96" i="31"/>
  <c r="E79" i="24"/>
  <c r="E81" s="1"/>
  <c r="E75" i="31"/>
  <c r="F18" i="24"/>
  <c r="D75" i="88"/>
  <c r="L56" i="24"/>
  <c r="J93" i="31"/>
  <c r="F34" i="24"/>
  <c r="M102" i="88"/>
  <c r="H108" i="37"/>
  <c r="J25" i="24"/>
  <c r="K18"/>
  <c r="M11"/>
  <c r="F69" i="28"/>
  <c r="I87"/>
  <c r="M78" i="31"/>
  <c r="F55" i="24"/>
  <c r="H23"/>
  <c r="G97"/>
  <c r="G99" s="1"/>
  <c r="H108" i="28"/>
  <c r="M62" i="24"/>
  <c r="L26"/>
  <c r="I47"/>
  <c r="M31"/>
  <c r="M97"/>
  <c r="G78" i="28"/>
  <c r="L13" i="24"/>
  <c r="D91"/>
  <c r="I98"/>
  <c r="I99" s="1"/>
  <c r="O14"/>
  <c r="I13"/>
  <c r="F102" i="31"/>
  <c r="M63" i="37"/>
  <c r="I56" i="24"/>
  <c r="I87" i="37"/>
  <c r="G54" i="24"/>
  <c r="E35"/>
  <c r="I24"/>
  <c r="J50"/>
  <c r="D21"/>
  <c r="G95"/>
  <c r="E96" i="28"/>
  <c r="D75" i="37"/>
  <c r="K93" i="88"/>
  <c r="E27" i="24"/>
  <c r="H102" i="37"/>
  <c r="J36" i="24"/>
  <c r="O54"/>
  <c r="F102" i="37"/>
  <c r="J32" i="24"/>
  <c r="O99" i="31"/>
  <c r="O78" i="88"/>
  <c r="K75" i="31"/>
  <c r="D4" i="24"/>
  <c r="H74"/>
  <c r="H75" s="1"/>
  <c r="I39"/>
  <c r="N99" i="28"/>
  <c r="J62" i="24"/>
  <c r="I63" i="88"/>
  <c r="L78" i="31"/>
  <c r="H75"/>
  <c r="H87"/>
  <c r="L72" i="28"/>
  <c r="K70" i="24"/>
  <c r="J20"/>
  <c r="E16"/>
  <c r="D27"/>
  <c r="F7"/>
  <c r="O98"/>
  <c r="H61"/>
  <c r="K22"/>
  <c r="I34"/>
  <c r="O47"/>
  <c r="L90" i="37"/>
  <c r="O102" i="31"/>
  <c r="N93" i="88"/>
  <c r="M107" i="24"/>
  <c r="N46"/>
  <c r="D90" i="88"/>
  <c r="M34" i="24"/>
  <c r="O84" i="88"/>
  <c r="K35" i="24"/>
  <c r="J54"/>
  <c r="J71"/>
  <c r="M33"/>
  <c r="D16"/>
  <c r="I69" i="88"/>
  <c r="L32" i="24"/>
  <c r="G7"/>
  <c r="O91"/>
  <c r="O24"/>
  <c r="I8"/>
  <c r="N63" i="88"/>
  <c r="G108" i="37"/>
  <c r="I87" i="88"/>
  <c r="O105" i="31"/>
  <c r="D105" i="37"/>
  <c r="H65" i="24"/>
  <c r="L105" i="31"/>
  <c r="E90" i="28"/>
  <c r="O99" i="37"/>
  <c r="N45" i="24"/>
  <c r="E81" i="37"/>
  <c r="N83" i="24"/>
  <c r="D31"/>
  <c r="L78" i="37"/>
  <c r="F51" i="24"/>
  <c r="E58"/>
  <c r="J99" i="31"/>
  <c r="D96"/>
  <c r="H89" i="24"/>
  <c r="J29"/>
  <c r="CD91" i="3"/>
  <c r="I43" i="24"/>
  <c r="G105" i="88"/>
  <c r="D99" i="28"/>
  <c r="E75" i="88"/>
  <c r="N98" i="24"/>
  <c r="N68"/>
  <c r="M10"/>
  <c r="F42"/>
  <c r="J66" i="88"/>
  <c r="CE91" i="3"/>
  <c r="J105" i="31"/>
  <c r="K78" i="88"/>
  <c r="F27" i="24"/>
  <c r="H53"/>
  <c r="J27"/>
  <c r="O25"/>
  <c r="N105" i="37"/>
  <c r="D59" i="24"/>
  <c r="H102" i="88"/>
  <c r="L31" i="24"/>
  <c r="E102" i="28"/>
  <c r="O97" i="24"/>
  <c r="H49"/>
  <c r="J79"/>
  <c r="J81" s="1"/>
  <c r="O79"/>
  <c r="O102" i="88"/>
  <c r="K79" i="24"/>
  <c r="F84" i="37"/>
  <c r="M9" i="24"/>
  <c r="O85"/>
  <c r="H87" i="28"/>
  <c r="J72" i="37"/>
  <c r="H67" i="24"/>
  <c r="E56"/>
  <c r="O17"/>
  <c r="G41"/>
  <c r="L87" i="37"/>
  <c r="O42" i="24"/>
  <c r="L74"/>
  <c r="E5"/>
  <c r="E90" i="37"/>
  <c r="K15" i="24"/>
  <c r="E18"/>
  <c r="M43"/>
  <c r="J84" i="88"/>
  <c r="F11" i="24"/>
  <c r="F81" i="28"/>
  <c r="E76" i="24"/>
  <c r="D87" i="28"/>
  <c r="L72" i="88"/>
  <c r="N11" i="24"/>
  <c r="O59"/>
  <c r="F24"/>
  <c r="G58"/>
  <c r="G105" i="31"/>
  <c r="O23" i="24"/>
  <c r="M66" i="28"/>
  <c r="L84" i="31"/>
  <c r="CI92" i="3"/>
  <c r="I99" i="31"/>
  <c r="G63" i="37"/>
  <c r="D63"/>
  <c r="N69"/>
  <c r="D32" i="24"/>
  <c r="G44"/>
  <c r="H98"/>
  <c r="H13"/>
  <c r="E93" i="28"/>
  <c r="O19" i="24"/>
  <c r="J105" i="88"/>
  <c r="K78" i="31"/>
  <c r="I58" i="24"/>
  <c r="L85"/>
  <c r="J72" i="88"/>
  <c r="I31" i="24"/>
  <c r="N7"/>
  <c r="K43"/>
  <c r="D46"/>
  <c r="G56"/>
  <c r="N14"/>
  <c r="F62"/>
  <c r="D6"/>
  <c r="O40"/>
  <c r="O45"/>
  <c r="I90" i="37"/>
  <c r="H34" i="24"/>
  <c r="E39"/>
  <c r="I102" i="28"/>
  <c r="L95" i="24"/>
  <c r="F48"/>
  <c r="K12"/>
  <c r="L41"/>
  <c r="H63" i="37"/>
  <c r="J66" i="31"/>
  <c r="L7" i="24"/>
  <c r="L38"/>
  <c r="H105" i="88"/>
  <c r="G52" i="24"/>
  <c r="G22"/>
  <c r="K5"/>
  <c r="K83"/>
  <c r="O81" i="88"/>
  <c r="D65" i="24"/>
  <c r="E49"/>
  <c r="M59"/>
  <c r="F95"/>
  <c r="N41"/>
  <c r="N96" i="37"/>
  <c r="N100" i="24"/>
  <c r="F56"/>
  <c r="E105" i="31"/>
  <c r="J99" i="37"/>
  <c r="D41" i="24"/>
  <c r="K80"/>
  <c r="E72" i="28"/>
  <c r="I104" i="24"/>
  <c r="L69" i="37"/>
  <c r="M69" i="88"/>
  <c r="N47" i="24"/>
  <c r="G86"/>
  <c r="M21"/>
  <c r="CE101" i="3"/>
  <c r="G102" i="37"/>
  <c r="H24" i="24"/>
  <c r="CJ103" i="3"/>
  <c r="D69" i="88"/>
  <c r="N85" i="24"/>
  <c r="N87" i="28"/>
  <c r="G93" i="31"/>
  <c r="G91" i="24"/>
  <c r="J95"/>
  <c r="J96" i="37"/>
  <c r="I71" i="24"/>
  <c r="I72" i="28"/>
  <c r="M101" i="24"/>
  <c r="M102" i="37"/>
  <c r="G108" i="28"/>
  <c r="G107" i="24"/>
  <c r="G108" s="1"/>
  <c r="N72" i="28"/>
  <c r="N70" i="24"/>
  <c r="J102" i="28"/>
  <c r="J100" i="24"/>
  <c r="L88"/>
  <c r="L90" i="31"/>
  <c r="K93"/>
  <c r="K92" i="24"/>
  <c r="CJ20" i="3"/>
  <c r="CJ18"/>
  <c r="CJ16"/>
  <c r="CJ6"/>
  <c r="CJ14"/>
  <c r="CJ12"/>
  <c r="CJ22"/>
  <c r="CJ10"/>
  <c r="CK7"/>
  <c r="CK19"/>
  <c r="N96" i="31"/>
  <c r="N95" i="24"/>
  <c r="E84" i="28"/>
  <c r="E83" i="24"/>
  <c r="N93" i="31"/>
  <c r="N91" i="24"/>
  <c r="F52"/>
  <c r="H28"/>
  <c r="E66" i="28"/>
  <c r="N8" i="24"/>
  <c r="N55"/>
  <c r="O102" i="28"/>
  <c r="F90" i="37"/>
  <c r="N81" i="31"/>
  <c r="D5" i="24"/>
  <c r="D70"/>
  <c r="D72" s="1"/>
  <c r="I105" i="31"/>
  <c r="D30" i="24"/>
  <c r="J28"/>
  <c r="N9"/>
  <c r="N93" i="37"/>
  <c r="F22" i="24"/>
  <c r="N20"/>
  <c r="D39"/>
  <c r="G32"/>
  <c r="M6"/>
  <c r="G66" i="88"/>
  <c r="F85" i="24"/>
  <c r="K95"/>
  <c r="K38"/>
  <c r="N92"/>
  <c r="H62"/>
  <c r="H91"/>
  <c r="O72" i="28"/>
  <c r="J91" i="24"/>
  <c r="F66" i="37"/>
  <c r="N94" i="24"/>
  <c r="M61"/>
  <c r="I96" i="28"/>
  <c r="E64" i="24"/>
  <c r="E66" s="1"/>
  <c r="J64"/>
  <c r="M63" i="28"/>
  <c r="D95" i="24"/>
  <c r="G67"/>
  <c r="G69" s="1"/>
  <c r="J93" i="37"/>
  <c r="N16" i="24"/>
  <c r="O106"/>
  <c r="K96" i="31"/>
  <c r="H59" i="24"/>
  <c r="I35"/>
  <c r="I94"/>
  <c r="F75" i="28"/>
  <c r="H42" i="24"/>
  <c r="E19"/>
  <c r="F36"/>
  <c r="E69" i="37"/>
  <c r="I66" i="88"/>
  <c r="O48" i="24"/>
  <c r="H69" i="31"/>
  <c r="L105" i="88"/>
  <c r="L17" i="24"/>
  <c r="J13"/>
  <c r="E90" i="31"/>
  <c r="M52" i="24"/>
  <c r="H75" i="28"/>
  <c r="E70" i="24"/>
  <c r="L79"/>
  <c r="K81" i="28"/>
  <c r="G63"/>
  <c r="D85" i="24"/>
  <c r="G72" i="37"/>
  <c r="M71" i="24"/>
  <c r="N66" i="28"/>
  <c r="F105"/>
  <c r="N105"/>
  <c r="N103" i="24"/>
  <c r="H87" i="37"/>
  <c r="H86" i="24"/>
  <c r="J61"/>
  <c r="J63" i="37"/>
  <c r="L104" i="24"/>
  <c r="L105" i="28"/>
  <c r="G102"/>
  <c r="G100" i="24"/>
  <c r="N101"/>
  <c r="N102" i="37"/>
  <c r="G63" i="31"/>
  <c r="G62" i="24"/>
  <c r="H84" i="31"/>
  <c r="H82" i="24"/>
  <c r="L67"/>
  <c r="L69" i="28"/>
  <c r="CG22" i="3"/>
  <c r="CG6"/>
  <c r="CG8"/>
  <c r="CG18"/>
  <c r="G87" i="37"/>
  <c r="G85" i="24"/>
  <c r="D53"/>
  <c r="F4"/>
  <c r="K96" i="37"/>
  <c r="F89" i="24"/>
  <c r="N17"/>
  <c r="M58"/>
  <c r="E28"/>
  <c r="N5"/>
  <c r="J85"/>
  <c r="J8"/>
  <c r="D7"/>
  <c r="O57"/>
  <c r="H105" i="37"/>
  <c r="F107" i="24"/>
  <c r="F84" i="88"/>
  <c r="E25" i="24"/>
  <c r="G84" i="88"/>
  <c r="H93" i="37"/>
  <c r="O102"/>
  <c r="N82" i="24"/>
  <c r="O100"/>
  <c r="E84" i="37"/>
  <c r="E81" i="31"/>
  <c r="N102"/>
  <c r="L63" i="28"/>
  <c r="CK104" i="3"/>
  <c r="BZ118"/>
  <c r="L92" i="24"/>
  <c r="I84" i="37"/>
  <c r="CJ91" i="3"/>
  <c r="H105" i="31"/>
  <c r="K103" i="24"/>
  <c r="G66" i="31"/>
  <c r="I79" i="24"/>
  <c r="J84" i="31"/>
  <c r="L61" i="24"/>
  <c r="N51"/>
  <c r="I73"/>
  <c r="L75" i="88"/>
  <c r="CJ101" i="3"/>
  <c r="G102" i="31"/>
  <c r="N65" i="24"/>
  <c r="CK102" i="3"/>
  <c r="G27" i="24"/>
  <c r="K108" i="88"/>
  <c r="E73" i="24"/>
  <c r="O35"/>
  <c r="L97"/>
  <c r="K69" i="88"/>
  <c r="I105" i="28"/>
  <c r="D37" i="24"/>
  <c r="L24"/>
  <c r="F84" i="31"/>
  <c r="G11" i="24"/>
  <c r="M32"/>
  <c r="I11"/>
  <c r="F96" i="28"/>
  <c r="M99"/>
  <c r="H99" i="31"/>
  <c r="H99" i="28"/>
  <c r="D100" i="24"/>
  <c r="D102" s="1"/>
  <c r="E41" i="22"/>
  <c r="D66" i="31"/>
  <c r="O104" i="24"/>
  <c r="CJ4" i="3"/>
  <c r="CJ8"/>
  <c r="J76" i="24"/>
  <c r="J78" i="37"/>
  <c r="J98" i="24"/>
  <c r="J99" i="28"/>
  <c r="L87" i="88"/>
  <c r="E36" i="24"/>
  <c r="H58"/>
  <c r="M84" i="88"/>
  <c r="I16" i="24"/>
  <c r="O87" i="37"/>
  <c r="M55" i="24"/>
  <c r="J37"/>
  <c r="O50"/>
  <c r="G9"/>
  <c r="M82"/>
  <c r="F96" i="88"/>
  <c r="D108" i="28"/>
  <c r="J65" i="24"/>
  <c r="CL90" i="3"/>
  <c r="G40" i="24"/>
  <c r="F35"/>
  <c r="J89"/>
  <c r="N31"/>
  <c r="H75" i="88"/>
  <c r="G72"/>
  <c r="H66" i="31"/>
  <c r="CD16" i="3"/>
  <c r="E94" i="24"/>
  <c r="O81" i="28"/>
  <c r="I81"/>
  <c r="K72"/>
  <c r="G64" i="24"/>
  <c r="F73"/>
  <c r="J82"/>
  <c r="J84" s="1"/>
  <c r="L103"/>
  <c r="H103"/>
  <c r="CH19" i="3"/>
  <c r="D62" i="24"/>
  <c r="H63" i="31"/>
  <c r="F80" i="24"/>
  <c r="CH104" i="3"/>
  <c r="CD18"/>
  <c r="CD12"/>
  <c r="CD14"/>
  <c r="BZ113"/>
  <c r="K59" i="24"/>
  <c r="N21"/>
  <c r="E30"/>
  <c r="K72" i="31"/>
  <c r="J69" i="88"/>
  <c r="M53" i="24"/>
  <c r="J10"/>
  <c r="E52"/>
  <c r="J55"/>
  <c r="D98"/>
  <c r="E102" i="88"/>
  <c r="N24" i="24"/>
  <c r="L25"/>
  <c r="F81" i="88"/>
  <c r="G96"/>
  <c r="M24" i="24"/>
  <c r="F101"/>
  <c r="J102" i="88"/>
  <c r="N30" i="24"/>
  <c r="H44"/>
  <c r="J49"/>
  <c r="K24"/>
  <c r="J11"/>
  <c r="L98"/>
  <c r="I86"/>
  <c r="E4"/>
  <c r="D19"/>
  <c r="CD22" i="3"/>
  <c r="CH9"/>
  <c r="G69" i="28"/>
  <c r="E75"/>
  <c r="K73" i="24"/>
  <c r="F94"/>
  <c r="J94"/>
  <c r="J96" s="1"/>
  <c r="M65"/>
  <c r="CD10" i="3"/>
  <c r="J72" i="28"/>
  <c r="CJ92" i="3"/>
  <c r="CI89"/>
  <c r="M8" i="22"/>
  <c r="CL101" i="3"/>
  <c r="M39" i="22"/>
  <c r="CL100" i="3"/>
  <c r="CI91"/>
  <c r="CJ102"/>
  <c r="CJ89"/>
  <c r="E47" i="24"/>
  <c r="D55"/>
  <c r="I21"/>
  <c r="J42"/>
  <c r="E101"/>
  <c r="I49"/>
  <c r="H37"/>
  <c r="D44"/>
  <c r="H50"/>
  <c r="L91"/>
  <c r="H87" i="88"/>
  <c r="F19" i="24"/>
  <c r="I51"/>
  <c r="E93" i="37"/>
  <c r="J44" i="24"/>
  <c r="L43"/>
  <c r="J87" i="31"/>
  <c r="O72"/>
  <c r="E38" i="24"/>
  <c r="I46"/>
  <c r="M93" i="37"/>
  <c r="F68" i="24"/>
  <c r="H90" i="37"/>
  <c r="H4" i="24"/>
  <c r="M57"/>
  <c r="N39"/>
  <c r="J40"/>
  <c r="L16"/>
  <c r="F108" i="31"/>
  <c r="M88" i="24"/>
  <c r="G92"/>
  <c r="I103"/>
  <c r="I9"/>
  <c r="M54"/>
  <c r="I65"/>
  <c r="G90" i="28"/>
  <c r="I84" i="31"/>
  <c r="N43" i="24"/>
  <c r="N10"/>
  <c r="N108" i="31"/>
  <c r="J9" i="24"/>
  <c r="H64"/>
  <c r="H66" s="1"/>
  <c r="I90" i="88"/>
  <c r="D8" i="24"/>
  <c r="L102" i="88"/>
  <c r="E108"/>
  <c r="O58" i="24"/>
  <c r="D14"/>
  <c r="H15"/>
  <c r="K94"/>
  <c r="F63" i="28"/>
  <c r="E105" i="88"/>
  <c r="M4" i="24"/>
  <c r="H52"/>
  <c r="K66" i="28"/>
  <c r="O64" i="24"/>
  <c r="H69" i="28"/>
  <c r="K53" i="24"/>
  <c r="M83"/>
  <c r="D38"/>
  <c r="L90" i="88"/>
  <c r="N67" i="24"/>
  <c r="N57"/>
  <c r="O93" i="37"/>
  <c r="J41" i="24"/>
  <c r="D104"/>
  <c r="D80"/>
  <c r="J96" i="88"/>
  <c r="N52" i="24"/>
  <c r="M50"/>
  <c r="K90" i="28"/>
  <c r="M17" i="24"/>
  <c r="I12"/>
  <c r="O36"/>
  <c r="M44"/>
  <c r="L42"/>
  <c r="G81" i="31"/>
  <c r="I72"/>
  <c r="K104" i="24"/>
  <c r="F41"/>
  <c r="D56"/>
  <c r="J69" i="28"/>
  <c r="O82" i="24"/>
  <c r="O52"/>
  <c r="E15"/>
  <c r="H66" i="28"/>
  <c r="H71" i="24"/>
  <c r="F17"/>
  <c r="M87" i="28"/>
  <c r="D9" i="24"/>
  <c r="D78" i="28"/>
  <c r="E87" i="37"/>
  <c r="K37" i="24"/>
  <c r="N63" i="31"/>
  <c r="O46" i="24"/>
  <c r="F38"/>
  <c r="I4"/>
  <c r="G16"/>
  <c r="I68"/>
  <c r="O73"/>
  <c r="J43"/>
  <c r="O93" i="31"/>
  <c r="O53" i="24"/>
  <c r="D68"/>
  <c r="O28"/>
  <c r="E63" i="88"/>
  <c r="J103" i="24"/>
  <c r="M13"/>
  <c r="I66" i="37"/>
  <c r="N63"/>
  <c r="E41" i="24"/>
  <c r="G79"/>
  <c r="G81" s="1"/>
  <c r="N87" i="88"/>
  <c r="G53" i="24"/>
  <c r="M51"/>
  <c r="L59"/>
  <c r="F54"/>
  <c r="F93" i="37"/>
  <c r="D75" i="28"/>
  <c r="H94" i="24"/>
  <c r="G89"/>
  <c r="H47"/>
  <c r="L28"/>
  <c r="K105" i="88"/>
  <c r="E33" i="24"/>
  <c r="F8"/>
  <c r="N13"/>
  <c r="N99" i="37"/>
  <c r="M35" i="24"/>
  <c r="O44"/>
  <c r="I84" i="88"/>
  <c r="E105" i="37"/>
  <c r="E78"/>
  <c r="N72" i="88"/>
  <c r="K108" i="37"/>
  <c r="M37" i="22"/>
  <c r="CI101" i="3"/>
  <c r="CB101"/>
  <c r="CC102"/>
  <c r="CE89"/>
  <c r="CL89"/>
  <c r="CE105"/>
  <c r="CK105"/>
  <c r="CB105"/>
  <c r="CJ90"/>
  <c r="L27" i="24"/>
  <c r="I108" i="88"/>
  <c r="CJ100" i="3"/>
  <c r="I40" i="24"/>
  <c r="L9"/>
  <c r="M92"/>
  <c r="D51"/>
  <c r="G5"/>
  <c r="E9"/>
  <c r="H19"/>
  <c r="G45"/>
  <c r="G34"/>
  <c r="I57"/>
  <c r="D92"/>
  <c r="F50"/>
  <c r="L35"/>
  <c r="G82"/>
  <c r="H33"/>
  <c r="H63" i="88"/>
  <c r="J57" i="24"/>
  <c r="D23"/>
  <c r="E74"/>
  <c r="N97"/>
  <c r="L39"/>
  <c r="O13"/>
  <c r="J15"/>
  <c r="G55"/>
  <c r="N23"/>
  <c r="E92"/>
  <c r="E106"/>
  <c r="J93" i="88"/>
  <c r="E62" i="24"/>
  <c r="M41"/>
  <c r="I38"/>
  <c r="G36"/>
  <c r="H38"/>
  <c r="F21"/>
  <c r="M78" i="88"/>
  <c r="F77" i="24"/>
  <c r="D49"/>
  <c r="K57"/>
  <c r="J87" i="37"/>
  <c r="J75" i="88"/>
  <c r="K105" i="31"/>
  <c r="N58" i="24"/>
  <c r="G38"/>
  <c r="I15"/>
  <c r="M23"/>
  <c r="M103"/>
  <c r="I26"/>
  <c r="L64"/>
  <c r="K48"/>
  <c r="K67"/>
  <c r="H101"/>
  <c r="O38"/>
  <c r="E45"/>
  <c r="L70"/>
  <c r="F86"/>
  <c r="D84" i="88"/>
  <c r="K54" i="24"/>
  <c r="F108" i="37"/>
  <c r="N44" i="24"/>
  <c r="G4"/>
  <c r="O83"/>
  <c r="F12"/>
  <c r="K66" i="88"/>
  <c r="J16" i="24"/>
  <c r="E96" i="88"/>
  <c r="O78" i="28"/>
  <c r="J23" i="24"/>
  <c r="K51"/>
  <c r="L96" i="88"/>
  <c r="N80" i="24"/>
  <c r="J81" i="88"/>
  <c r="H93" i="28"/>
  <c r="I48" i="24"/>
  <c r="I17"/>
  <c r="L22"/>
  <c r="H107"/>
  <c r="F93" i="31"/>
  <c r="O27" i="24"/>
  <c r="G43"/>
  <c r="I18"/>
  <c r="J5"/>
  <c r="L45"/>
  <c r="O92"/>
  <c r="G65"/>
  <c r="K74"/>
  <c r="H36"/>
  <c r="N37"/>
  <c r="E99" i="88"/>
  <c r="I78" i="28"/>
  <c r="K20" i="24"/>
  <c r="O105" i="37"/>
  <c r="J97" i="24"/>
  <c r="M72" i="37"/>
  <c r="E51" i="24"/>
  <c r="H43"/>
  <c r="I59"/>
  <c r="J22"/>
  <c r="L33"/>
  <c r="D107"/>
  <c r="L46"/>
  <c r="N79"/>
  <c r="M72" i="88"/>
  <c r="J69" i="37"/>
  <c r="D17" i="24"/>
  <c r="N59"/>
  <c r="K44"/>
  <c r="H78" i="28"/>
  <c r="I74" i="24"/>
  <c r="H96" i="88"/>
  <c r="I96" i="31"/>
  <c r="M16" i="24"/>
  <c r="D79"/>
  <c r="M81" i="31"/>
  <c r="H108" i="88"/>
  <c r="O11" i="24"/>
  <c r="E22"/>
  <c r="F49"/>
  <c r="F26"/>
  <c r="N74"/>
  <c r="O80"/>
  <c r="I45"/>
  <c r="K108" i="28"/>
  <c r="L68" i="24"/>
  <c r="O20"/>
  <c r="O93" i="88"/>
  <c r="N36" i="24"/>
  <c r="H21"/>
  <c r="G13"/>
  <c r="F81" i="37"/>
  <c r="I100" i="24"/>
  <c r="I102" s="1"/>
  <c r="I91"/>
  <c r="F58"/>
  <c r="M80"/>
  <c r="G81" i="88"/>
  <c r="L36" i="24"/>
  <c r="O88"/>
  <c r="H26"/>
  <c r="F6"/>
  <c r="K45"/>
  <c r="K25"/>
  <c r="H45"/>
  <c r="F63" i="37"/>
  <c r="K16" i="24"/>
  <c r="M40"/>
  <c r="K28"/>
  <c r="G47"/>
  <c r="N18"/>
  <c r="F39"/>
  <c r="G19"/>
  <c r="K90" i="31"/>
  <c r="G37" i="24"/>
  <c r="D89"/>
  <c r="E11"/>
  <c r="M75" i="37"/>
  <c r="O33" i="24"/>
  <c r="K76"/>
  <c r="H57"/>
  <c r="D47"/>
  <c r="I42"/>
  <c r="K42"/>
  <c r="N99" i="88"/>
  <c r="M90" i="37"/>
  <c r="N73" i="24"/>
  <c r="N75" s="1"/>
  <c r="L77"/>
  <c r="L107"/>
  <c r="L108" s="1"/>
  <c r="E17"/>
  <c r="F71"/>
  <c r="E81" i="28"/>
  <c r="I54" i="24"/>
  <c r="K90" i="88"/>
  <c r="J77" i="24"/>
  <c r="G23"/>
  <c r="N4"/>
  <c r="J108" i="28"/>
  <c r="F9" i="24"/>
  <c r="D105" i="88"/>
  <c r="L23" i="24"/>
  <c r="N15"/>
  <c r="L11"/>
  <c r="D73"/>
  <c r="K61"/>
  <c r="E10"/>
  <c r="M45"/>
  <c r="E8" i="22"/>
  <c r="CI102" i="3"/>
  <c r="E57" i="24"/>
  <c r="F31"/>
  <c r="F67"/>
  <c r="N89"/>
  <c r="L66" i="28"/>
  <c r="G12" i="24"/>
  <c r="H99" i="88"/>
  <c r="H104" i="24"/>
  <c r="G69" i="88"/>
  <c r="I23" i="24"/>
  <c r="J51"/>
  <c r="G84" i="37"/>
  <c r="L57" i="24"/>
  <c r="E54"/>
  <c r="M99" i="31"/>
  <c r="M77" i="24"/>
  <c r="M78" s="1"/>
  <c r="I14"/>
  <c r="F46"/>
  <c r="E29"/>
  <c r="H7"/>
  <c r="O15"/>
  <c r="N33"/>
  <c r="G78" i="37"/>
  <c r="G18" i="24"/>
  <c r="E20"/>
  <c r="N38"/>
  <c r="M12"/>
  <c r="O34"/>
  <c r="G24"/>
  <c r="G21"/>
  <c r="K85"/>
  <c r="K87" s="1"/>
  <c r="J34"/>
  <c r="K82"/>
  <c r="K84" s="1"/>
  <c r="J90" i="31"/>
  <c r="I67" i="24"/>
  <c r="O10"/>
  <c r="G51"/>
  <c r="H79"/>
  <c r="F91"/>
  <c r="G20"/>
  <c r="H54"/>
  <c r="D97"/>
  <c r="I99" i="28"/>
  <c r="K93"/>
  <c r="L93" i="31"/>
  <c r="H9" i="24"/>
  <c r="F43"/>
  <c r="E14"/>
  <c r="M30"/>
  <c r="L80"/>
  <c r="J99" i="88"/>
  <c r="N28" i="24"/>
  <c r="K102" i="31"/>
  <c r="K81"/>
  <c r="M75" i="28"/>
  <c r="H40" i="24"/>
  <c r="D96" i="28"/>
  <c r="I41" i="24"/>
  <c r="E81" i="88"/>
  <c r="L86" i="24"/>
  <c r="L5"/>
  <c r="J17"/>
  <c r="D33"/>
  <c r="J56"/>
  <c r="M108" i="31"/>
  <c r="M81" i="37"/>
  <c r="F30" i="24"/>
  <c r="E12"/>
  <c r="M47"/>
  <c r="E98"/>
  <c r="E39" i="22"/>
  <c r="H10" i="24"/>
  <c r="G83"/>
  <c r="H80"/>
  <c r="N75" i="31"/>
  <c r="F44" i="24"/>
  <c r="I77"/>
  <c r="M7"/>
  <c r="O6"/>
  <c r="M64"/>
  <c r="M66" s="1"/>
  <c r="F76"/>
  <c r="D88"/>
  <c r="I27"/>
  <c r="E87" i="28"/>
  <c r="M15" i="24"/>
  <c r="M84" i="28"/>
  <c r="J38" i="24"/>
  <c r="M49"/>
  <c r="H83"/>
  <c r="M39"/>
  <c r="D25"/>
  <c r="N71"/>
  <c r="N86"/>
  <c r="L18"/>
  <c r="L100"/>
  <c r="F29"/>
  <c r="O63" i="31"/>
  <c r="I72" i="88"/>
  <c r="I93"/>
  <c r="N42" i="24"/>
  <c r="F102" i="28"/>
  <c r="D102"/>
  <c r="F40" i="24"/>
  <c r="K102" i="37"/>
  <c r="G10" i="24"/>
  <c r="J101"/>
  <c r="G96" i="28"/>
  <c r="I78" i="88"/>
  <c r="CB91" i="3"/>
  <c r="D72" i="88"/>
  <c r="F98" i="24"/>
  <c r="D58"/>
  <c r="D45"/>
  <c r="O16"/>
  <c r="J4"/>
  <c r="M84" i="31"/>
  <c r="F75" i="37"/>
  <c r="F47" i="24"/>
  <c r="K11"/>
  <c r="G30"/>
  <c r="J6"/>
  <c r="K102" i="28"/>
  <c r="E91" i="24"/>
  <c r="E88"/>
  <c r="O69" i="31"/>
  <c r="M42" i="24"/>
  <c r="K77"/>
  <c r="D86"/>
  <c r="G93" i="28"/>
  <c r="L34" i="24"/>
  <c r="G46"/>
  <c r="F20"/>
  <c r="L15"/>
  <c r="E34"/>
  <c r="I6"/>
  <c r="O29"/>
  <c r="F5"/>
  <c r="K10"/>
  <c r="L29"/>
  <c r="K47"/>
  <c r="J7"/>
  <c r="H16"/>
  <c r="D10"/>
  <c r="G75" i="88"/>
  <c r="D78" i="31"/>
  <c r="L83" i="24"/>
  <c r="K62"/>
  <c r="F28"/>
  <c r="E21"/>
  <c r="L48"/>
  <c r="J18"/>
  <c r="G33"/>
  <c r="F10"/>
  <c r="E55"/>
  <c r="D34"/>
  <c r="J53"/>
  <c r="J12"/>
  <c r="E46"/>
  <c r="J35"/>
  <c r="N48"/>
  <c r="L69" i="88"/>
  <c r="L58" i="24"/>
  <c r="G75" i="28"/>
  <c r="M100" i="24"/>
  <c r="J104"/>
  <c r="M93" i="31"/>
  <c r="I89" i="24"/>
  <c r="O108" i="28"/>
  <c r="K101" i="24"/>
  <c r="L82"/>
  <c r="K4"/>
  <c r="K39"/>
  <c r="M68"/>
  <c r="I20"/>
  <c r="L96" i="37"/>
  <c r="H12" i="24"/>
  <c r="I37"/>
  <c r="O77"/>
  <c r="L89"/>
  <c r="M29"/>
  <c r="F79"/>
  <c r="F66" i="31"/>
  <c r="K71" i="24"/>
  <c r="D50"/>
  <c r="E69" i="88"/>
  <c r="G26" i="24"/>
  <c r="CH100" i="3"/>
  <c r="F93" i="88"/>
  <c r="K9" i="24"/>
  <c r="K21"/>
  <c r="M89"/>
  <c r="J31"/>
  <c r="I22"/>
  <c r="E100"/>
  <c r="F69" i="88"/>
  <c r="E24" i="24"/>
  <c r="H108" i="31"/>
  <c r="K50" i="24"/>
  <c r="F9" i="96"/>
  <c r="E9"/>
  <c r="M60"/>
  <c r="S9"/>
  <c r="AB17"/>
  <c r="Y46"/>
  <c r="P24"/>
  <c r="M46"/>
  <c r="J25"/>
  <c r="Y11"/>
  <c r="M22"/>
  <c r="F20"/>
  <c r="V20"/>
  <c r="E20"/>
  <c r="Y56"/>
  <c r="V28"/>
  <c r="J39"/>
  <c r="AB9"/>
  <c r="J53"/>
  <c r="H13" i="97"/>
  <c r="I13" s="1"/>
  <c r="V40" i="96"/>
  <c r="E8"/>
  <c r="J7"/>
  <c r="Y6"/>
  <c r="M12"/>
  <c r="M10"/>
  <c r="N57" s="1"/>
  <c r="Y10"/>
  <c r="P10"/>
  <c r="P11"/>
  <c r="Y33"/>
  <c r="Y28"/>
  <c r="F57"/>
  <c r="V57"/>
  <c r="E57"/>
  <c r="AB57"/>
  <c r="Y57"/>
  <c r="M52"/>
  <c r="M40"/>
  <c r="S45"/>
  <c r="F19"/>
  <c r="E19"/>
  <c r="AB19"/>
  <c r="Y19"/>
  <c r="F21"/>
  <c r="E21"/>
  <c r="V21"/>
  <c r="Y21"/>
  <c r="N22" i="22"/>
  <c r="L35"/>
  <c r="M35" s="1"/>
  <c r="L26"/>
  <c r="M26" s="1"/>
  <c r="L30"/>
  <c r="M30" s="1"/>
  <c r="L24"/>
  <c r="M24" s="1"/>
  <c r="L28"/>
  <c r="M28" s="1"/>
  <c r="L33"/>
  <c r="M33" s="1"/>
  <c r="M22"/>
  <c r="J45" i="96"/>
  <c r="E46"/>
  <c r="F46"/>
  <c r="AB46"/>
  <c r="E31"/>
  <c r="F31"/>
  <c r="V31"/>
  <c r="S44"/>
  <c r="S58"/>
  <c r="M18"/>
  <c r="Y38"/>
  <c r="J51"/>
  <c r="AB48"/>
  <c r="AB44"/>
  <c r="J20"/>
  <c r="V13"/>
  <c r="V27"/>
  <c r="Y17"/>
  <c r="AB39"/>
  <c r="P18"/>
  <c r="F36"/>
  <c r="V36"/>
  <c r="AB36"/>
  <c r="E36"/>
  <c r="Y36"/>
  <c r="V12"/>
  <c r="F62"/>
  <c r="E62"/>
  <c r="Y62"/>
  <c r="V62"/>
  <c r="AB62"/>
  <c r="P49"/>
  <c r="S56"/>
  <c r="Y39"/>
  <c r="H19"/>
  <c r="J19"/>
  <c r="M19"/>
  <c r="P19"/>
  <c r="P40"/>
  <c r="H40"/>
  <c r="S40"/>
  <c r="J40"/>
  <c r="H47"/>
  <c r="M47"/>
  <c r="P47"/>
  <c r="J47"/>
  <c r="S47"/>
  <c r="E45"/>
  <c r="J34"/>
  <c r="H9"/>
  <c r="AB60"/>
  <c r="J6"/>
  <c r="Y35"/>
  <c r="F39"/>
  <c r="E39"/>
  <c r="V39"/>
  <c r="AB41"/>
  <c r="H61"/>
  <c r="P61"/>
  <c r="H55"/>
  <c r="S55"/>
  <c r="J55"/>
  <c r="F26"/>
  <c r="E26"/>
  <c r="Y26"/>
  <c r="V26"/>
  <c r="DI29" i="3"/>
  <c r="CG117"/>
  <c r="BZ117" s="1"/>
  <c r="CV39"/>
  <c r="DI28" s="1"/>
  <c r="CW39"/>
  <c r="DJ28" s="1"/>
  <c r="H7" i="96"/>
  <c r="M7"/>
  <c r="S7"/>
  <c r="AB29"/>
  <c r="P53"/>
  <c r="S41"/>
  <c r="E49"/>
  <c r="E15"/>
  <c r="Y53"/>
  <c r="H60"/>
  <c r="H30"/>
  <c r="P30"/>
  <c r="J30"/>
  <c r="AB10"/>
  <c r="AB49"/>
  <c r="P28"/>
  <c r="S35"/>
  <c r="V48"/>
  <c r="S61"/>
  <c r="M48"/>
  <c r="J44"/>
  <c r="V60"/>
  <c r="P27"/>
  <c r="J64"/>
  <c r="CG120" i="3"/>
  <c r="CV47"/>
  <c r="CW47"/>
  <c r="AB51" i="96"/>
  <c r="J32"/>
  <c r="P55"/>
  <c r="F53"/>
  <c r="E53"/>
  <c r="AB53"/>
  <c r="V53"/>
  <c r="M49"/>
  <c r="M32"/>
  <c r="AB47"/>
  <c r="M31"/>
  <c r="S53"/>
  <c r="Y31"/>
  <c r="P7"/>
  <c r="Q33" s="1"/>
  <c r="H38"/>
  <c r="P38"/>
  <c r="M38"/>
  <c r="V61"/>
  <c r="CF3" i="3"/>
  <c r="BZ3" s="1"/>
  <c r="O56" s="1"/>
  <c r="V32" i="96"/>
  <c r="H39"/>
  <c r="M39"/>
  <c r="F7"/>
  <c r="V7"/>
  <c r="E7"/>
  <c r="E27"/>
  <c r="F27"/>
  <c r="E10"/>
  <c r="F10"/>
  <c r="BT15" i="3"/>
  <c r="E11" i="96"/>
  <c r="F11"/>
  <c r="F24"/>
  <c r="E24"/>
  <c r="Y24"/>
  <c r="Y60"/>
  <c r="V10"/>
  <c r="V44"/>
  <c r="Y27"/>
  <c r="AB16"/>
  <c r="K13" i="97"/>
  <c r="L13" s="1"/>
  <c r="D13"/>
  <c r="E13" s="1"/>
  <c r="CC85" i="3"/>
  <c r="CD89" s="1"/>
  <c r="CS26"/>
  <c r="CR26"/>
  <c r="E47" i="96"/>
  <c r="F47"/>
  <c r="Y47"/>
  <c r="V47"/>
  <c r="P52"/>
  <c r="E32"/>
  <c r="J15"/>
  <c r="P59"/>
  <c r="E13"/>
  <c r="AB20"/>
  <c r="S11"/>
  <c r="M21"/>
  <c r="F51"/>
  <c r="V51"/>
  <c r="Y51"/>
  <c r="E51"/>
  <c r="F41"/>
  <c r="V41"/>
  <c r="E41"/>
  <c r="Y41"/>
  <c r="S48"/>
  <c r="V19"/>
  <c r="J16"/>
  <c r="M61"/>
  <c r="M63"/>
  <c r="AB33"/>
  <c r="H64"/>
  <c r="P64"/>
  <c r="S64"/>
  <c r="H59"/>
  <c r="S59"/>
  <c r="J59"/>
  <c r="M59"/>
  <c r="F23"/>
  <c r="E23"/>
  <c r="V23"/>
  <c r="AB23"/>
  <c r="Y23"/>
  <c r="Y32"/>
  <c r="CY44" i="3"/>
  <c r="CZ44"/>
  <c r="CX40"/>
  <c r="CY40"/>
  <c r="H25" i="96"/>
  <c r="M25"/>
  <c r="P25"/>
  <c r="S25"/>
  <c r="CY56" i="3"/>
  <c r="CZ56"/>
  <c r="F35" i="96"/>
  <c r="E35"/>
  <c r="V35"/>
  <c r="AB26"/>
  <c r="AB56"/>
  <c r="Y20"/>
  <c r="E63"/>
  <c r="F63"/>
  <c r="AB63"/>
  <c r="AB27"/>
  <c r="S39"/>
  <c r="S30"/>
  <c r="F16"/>
  <c r="Y16"/>
  <c r="E16"/>
  <c r="V16"/>
  <c r="V22"/>
  <c r="S37"/>
  <c r="J26"/>
  <c r="Y55"/>
  <c r="J61"/>
  <c r="P42"/>
  <c r="AB21"/>
  <c r="J24"/>
  <c r="V17"/>
  <c r="AB64"/>
  <c r="F42"/>
  <c r="Y42"/>
  <c r="E42"/>
  <c r="J35"/>
  <c r="AB35"/>
  <c r="J27"/>
  <c r="Y9"/>
  <c r="Y61"/>
  <c r="S34"/>
  <c r="H36"/>
  <c r="P36"/>
  <c r="J36"/>
  <c r="S36"/>
  <c r="CG123" i="3"/>
  <c r="BZ123" s="1"/>
  <c r="CV53"/>
  <c r="CW53"/>
  <c r="P44" i="96"/>
  <c r="E28"/>
  <c r="H27"/>
  <c r="M27"/>
  <c r="S27"/>
  <c r="Y37"/>
  <c r="E17"/>
  <c r="F17"/>
  <c r="E34"/>
  <c r="F34"/>
  <c r="V34"/>
  <c r="Y34"/>
  <c r="AB34"/>
  <c r="H35"/>
  <c r="P35"/>
  <c r="J54"/>
  <c r="S38"/>
  <c r="J43"/>
  <c r="F56"/>
  <c r="E56"/>
  <c r="V56"/>
  <c r="J38"/>
  <c r="V58"/>
  <c r="P39"/>
  <c r="M15"/>
  <c r="J42"/>
  <c r="M17"/>
  <c r="V38"/>
  <c r="CV40" i="3"/>
  <c r="CU40"/>
  <c r="AB42" i="96"/>
  <c r="CR54" i="3"/>
  <c r="CS54"/>
  <c r="P60" i="96"/>
  <c r="F60"/>
  <c r="E60"/>
  <c r="M9"/>
  <c r="V9"/>
  <c r="H10"/>
  <c r="J11"/>
  <c r="E64"/>
  <c r="F64"/>
  <c r="V64"/>
  <c r="Y64"/>
  <c r="V24"/>
  <c r="S42"/>
  <c r="E6"/>
  <c r="F6"/>
  <c r="V6"/>
  <c r="AB6"/>
  <c r="M55"/>
  <c r="Y48"/>
  <c r="J10"/>
  <c r="CI124" i="3"/>
  <c r="BZ124" s="1"/>
  <c r="CY57"/>
  <c r="CX57"/>
  <c r="J63" i="96"/>
  <c r="E43"/>
  <c r="V11"/>
  <c r="S49"/>
  <c r="M11"/>
  <c r="V42"/>
  <c r="E12"/>
  <c r="F12"/>
  <c r="Y12"/>
  <c r="AB12"/>
  <c r="CI122" i="3"/>
  <c r="BZ122" s="1"/>
  <c r="CX51"/>
  <c r="CY51"/>
  <c r="F54" i="96"/>
  <c r="E54"/>
  <c r="Y54"/>
  <c r="AB54"/>
  <c r="V54"/>
  <c r="AB31"/>
  <c r="S60"/>
  <c r="J60"/>
  <c r="S20"/>
  <c r="M36"/>
  <c r="J50"/>
  <c r="Y7"/>
  <c r="Y63"/>
  <c r="P9"/>
  <c r="AB11"/>
  <c r="S10"/>
  <c r="P50"/>
  <c r="P56"/>
  <c r="F58"/>
  <c r="E58"/>
  <c r="Y58"/>
  <c r="M30"/>
  <c r="AB24"/>
  <c r="AB38"/>
  <c r="CU46" i="3"/>
  <c r="CV46"/>
  <c r="Y59" i="96"/>
  <c r="H11"/>
  <c r="P12"/>
  <c r="E61"/>
  <c r="M64"/>
  <c r="S32"/>
  <c r="Y40"/>
  <c r="V18"/>
  <c r="H13"/>
  <c r="P13"/>
  <c r="M13"/>
  <c r="S13"/>
  <c r="J13"/>
  <c r="M35"/>
  <c r="J9"/>
  <c r="CD120" i="3"/>
  <c r="CT47"/>
  <c r="CS47"/>
  <c r="H8" i="96"/>
  <c r="J8"/>
  <c r="M8"/>
  <c r="P8"/>
  <c r="S8"/>
  <c r="V46"/>
  <c r="V49"/>
  <c r="Y30"/>
  <c r="E59"/>
  <c r="Y44"/>
  <c r="Y45"/>
  <c r="AB37"/>
  <c r="P46"/>
  <c r="AB58"/>
  <c r="AB32"/>
  <c r="F50"/>
  <c r="AB50"/>
  <c r="Y50"/>
  <c r="V50"/>
  <c r="E50"/>
  <c r="Y15"/>
  <c r="AB7"/>
  <c r="J33"/>
  <c r="M29"/>
  <c r="S19"/>
  <c r="M58"/>
  <c r="E52"/>
  <c r="DA40" i="3"/>
  <c r="V63" i="96"/>
  <c r="N75" i="28"/>
  <c r="O90" i="37"/>
  <c r="M93" i="28"/>
  <c r="G84"/>
  <c r="D94" i="24"/>
  <c r="M85"/>
  <c r="K97"/>
  <c r="F61"/>
  <c r="H100"/>
  <c r="N81" i="37"/>
  <c r="CK21" i="3"/>
  <c r="L76" i="24"/>
  <c r="CH5" i="3"/>
  <c r="G99" i="31"/>
  <c r="E63"/>
  <c r="N90" i="37"/>
  <c r="H66"/>
  <c r="K88" i="24"/>
  <c r="K78" i="37"/>
  <c r="I69" i="28"/>
  <c r="N76" i="24"/>
  <c r="N78" s="1"/>
  <c r="M66" i="37"/>
  <c r="F87" i="31"/>
  <c r="O84" i="37"/>
  <c r="G94" i="24"/>
  <c r="F81" i="31"/>
  <c r="G84"/>
  <c r="J67" i="24"/>
  <c r="O103"/>
  <c r="M91"/>
  <c r="J73"/>
  <c r="E108" i="28"/>
  <c r="O76" i="24"/>
  <c r="O95"/>
  <c r="G101"/>
  <c r="E102" i="31"/>
  <c r="J86" i="24"/>
  <c r="O55"/>
  <c r="E99" i="31"/>
  <c r="H95" i="24"/>
  <c r="O107"/>
  <c r="J105" i="37"/>
  <c r="G74" i="24"/>
  <c r="K96" i="28"/>
  <c r="J88" i="24"/>
  <c r="L66" i="37"/>
  <c r="M104" i="24"/>
  <c r="O75" i="37"/>
  <c r="CK17" i="3"/>
  <c r="D74" i="24"/>
  <c r="E103"/>
  <c r="E93" i="31"/>
  <c r="K89" i="24"/>
  <c r="N107"/>
  <c r="F78" i="37"/>
  <c r="CG20" i="3"/>
  <c r="D105" i="28"/>
  <c r="CJ15" i="3"/>
  <c r="CJ21"/>
  <c r="J105" i="28"/>
  <c r="CJ7" i="3"/>
  <c r="J107" i="24"/>
  <c r="L87" i="28"/>
  <c r="CK23" i="3"/>
  <c r="CK13"/>
  <c r="CK15"/>
  <c r="CQ72"/>
  <c r="M32" i="22"/>
  <c r="D69" i="28"/>
  <c r="CK89" i="3"/>
  <c r="F87" i="37"/>
  <c r="K91" i="24"/>
  <c r="M90" i="31"/>
  <c r="CH23" i="3"/>
  <c r="I70" i="24"/>
  <c r="K100"/>
  <c r="E75" i="37"/>
  <c r="L102"/>
  <c r="G81"/>
  <c r="F72" i="28"/>
  <c r="F78" i="31"/>
  <c r="CC92" i="3"/>
  <c r="E78" i="31"/>
  <c r="O66" i="28"/>
  <c r="G76" i="24"/>
  <c r="CK90" i="3"/>
  <c r="I62" i="24"/>
  <c r="I88"/>
  <c r="M90" i="28"/>
  <c r="L108"/>
  <c r="O5" i="24"/>
  <c r="N62"/>
  <c r="N104"/>
  <c r="H106"/>
  <c r="M79"/>
  <c r="O68"/>
  <c r="H96" i="28"/>
  <c r="CK11" i="3"/>
  <c r="M105" i="31"/>
  <c r="CJ11" i="3"/>
  <c r="M81" i="28"/>
  <c r="O84"/>
  <c r="J68" i="24"/>
  <c r="CG10" i="3"/>
  <c r="CG4"/>
  <c r="I102" i="37"/>
  <c r="I83" i="24"/>
  <c r="O49"/>
  <c r="G66" i="37"/>
  <c r="CH13" i="3"/>
  <c r="CH7"/>
  <c r="I105" i="37"/>
  <c r="CJ17" i="3"/>
  <c r="CJ23"/>
  <c r="CQ74"/>
  <c r="O61" i="24"/>
  <c r="I76"/>
  <c r="I85"/>
  <c r="G81" i="28"/>
  <c r="D93"/>
  <c r="CK9" i="3"/>
  <c r="N69" i="31"/>
  <c r="G103" i="24"/>
  <c r="L73"/>
  <c r="M73"/>
  <c r="E85"/>
  <c r="CH11" i="3"/>
  <c r="N106" i="24"/>
  <c r="D90" i="31"/>
  <c r="CK5" i="3"/>
  <c r="O4" i="24"/>
  <c r="CG14" i="3"/>
  <c r="CG12"/>
  <c r="CG16"/>
  <c r="CE90"/>
  <c r="CD90"/>
  <c r="CL10"/>
  <c r="CL16"/>
  <c r="CH8"/>
  <c r="CH10"/>
  <c r="CL4"/>
  <c r="CL12"/>
  <c r="CD104"/>
  <c r="CL8"/>
  <c r="CL22"/>
  <c r="CH20"/>
  <c r="CL14"/>
  <c r="CH18"/>
  <c r="CH4"/>
  <c r="CL20"/>
  <c r="CL18"/>
  <c r="CJ105"/>
  <c r="CH16"/>
  <c r="BZ2"/>
  <c r="M56" s="1"/>
  <c r="CH22"/>
  <c r="CH6"/>
  <c r="CH14"/>
  <c r="CF92"/>
  <c r="CC12"/>
  <c r="CC6"/>
  <c r="CF101"/>
  <c r="CC8"/>
  <c r="CC23"/>
  <c r="CC18"/>
  <c r="CC10"/>
  <c r="E28" i="22"/>
  <c r="CF104" i="3"/>
  <c r="CG89"/>
  <c r="CI105"/>
  <c r="CC16"/>
  <c r="CC14"/>
  <c r="CC20"/>
  <c r="CC4"/>
  <c r="CC105"/>
  <c r="CC100"/>
  <c r="CC90"/>
  <c r="CE19"/>
  <c r="E33" i="22"/>
  <c r="CB17" i="3"/>
  <c r="E26" i="22"/>
  <c r="CE21" i="3"/>
  <c r="CE13"/>
  <c r="CE17"/>
  <c r="CE9"/>
  <c r="CE5"/>
  <c r="CC104"/>
  <c r="X33"/>
  <c r="CG23"/>
  <c r="CE15"/>
  <c r="CE23"/>
  <c r="CE7"/>
  <c r="CG15"/>
  <c r="X40"/>
  <c r="X19"/>
  <c r="X5"/>
  <c r="X12"/>
  <c r="X47"/>
  <c r="CK91"/>
  <c r="CH91"/>
  <c r="X26"/>
  <c r="CG9"/>
  <c r="CE104"/>
  <c r="CG13"/>
  <c r="CA8"/>
  <c r="CG90"/>
  <c r="CG11"/>
  <c r="CE100"/>
  <c r="CF100"/>
  <c r="CG17"/>
  <c r="CG5"/>
  <c r="CG21"/>
  <c r="CG19"/>
  <c r="CG103"/>
  <c r="CA4"/>
  <c r="CK92"/>
  <c r="CI7"/>
  <c r="CI104"/>
  <c r="CA10"/>
  <c r="CA6"/>
  <c r="CA20"/>
  <c r="CA14"/>
  <c r="CA18"/>
  <c r="CA22"/>
  <c r="CA16"/>
  <c r="CA5"/>
  <c r="CI8"/>
  <c r="CA23"/>
  <c r="CC7"/>
  <c r="CF105"/>
  <c r="CI16"/>
  <c r="CF89"/>
  <c r="CB13"/>
  <c r="CB11"/>
  <c r="CD100"/>
  <c r="CD103"/>
  <c r="CH102"/>
  <c r="CC101"/>
  <c r="CB21"/>
  <c r="CC103"/>
  <c r="CB15"/>
  <c r="CB89"/>
  <c r="E32" i="22"/>
  <c r="CB5" i="3"/>
  <c r="CF103"/>
  <c r="CB23"/>
  <c r="CB7"/>
  <c r="CB19"/>
  <c r="CG100"/>
  <c r="CI18"/>
  <c r="CI14"/>
  <c r="CI12"/>
  <c r="CI6"/>
  <c r="CI10"/>
  <c r="BZ116"/>
  <c r="CH105"/>
  <c r="CI20"/>
  <c r="CB90"/>
  <c r="CA9"/>
  <c r="CI22"/>
  <c r="CG91"/>
  <c r="L12" i="97"/>
  <c r="CF90" i="3"/>
  <c r="CA19"/>
  <c r="CA17"/>
  <c r="CB103"/>
  <c r="CA15"/>
  <c r="CI11"/>
  <c r="CA11"/>
  <c r="CI13"/>
  <c r="CI21"/>
  <c r="CI23"/>
  <c r="CI9"/>
  <c r="CI15"/>
  <c r="CI17"/>
  <c r="CA21"/>
  <c r="L11" i="97"/>
  <c r="CA13" i="3"/>
  <c r="CI19"/>
  <c r="E30" i="22"/>
  <c r="CB102" i="3"/>
  <c r="BZ119"/>
  <c r="L8" i="97"/>
  <c r="E8" i="101" s="1"/>
  <c r="CD105" i="3"/>
  <c r="CB10"/>
  <c r="CC9"/>
  <c r="CD102"/>
  <c r="CH101"/>
  <c r="CC5"/>
  <c r="CB100"/>
  <c r="CC17"/>
  <c r="CC13"/>
  <c r="CF91"/>
  <c r="CB12"/>
  <c r="CC11"/>
  <c r="CC19"/>
  <c r="E24" i="22"/>
  <c r="CC15" i="3"/>
  <c r="CB4"/>
  <c r="CG101"/>
  <c r="CB8"/>
  <c r="CB20"/>
  <c r="CB16"/>
  <c r="CB92"/>
  <c r="CB18"/>
  <c r="CB104"/>
  <c r="E35" i="22"/>
  <c r="CB14" i="3"/>
  <c r="M41" i="22"/>
  <c r="CB22" i="3"/>
  <c r="CL91"/>
  <c r="CK103"/>
  <c r="BZ121"/>
  <c r="CG92"/>
  <c r="CL104"/>
  <c r="CH89"/>
  <c r="T12" i="96"/>
  <c r="CH90" i="3"/>
  <c r="CF22"/>
  <c r="CF12"/>
  <c r="CF6"/>
  <c r="CF10"/>
  <c r="CF18"/>
  <c r="CF4"/>
  <c r="CF16"/>
  <c r="CF8"/>
  <c r="CF14"/>
  <c r="CL17"/>
  <c r="CL13"/>
  <c r="CL19"/>
  <c r="CL21"/>
  <c r="CL15"/>
  <c r="CL7"/>
  <c r="CL23"/>
  <c r="CL9"/>
  <c r="CL5"/>
  <c r="CL11"/>
  <c r="CE103"/>
  <c r="G7" i="101"/>
  <c r="L10" i="97"/>
  <c r="G8" i="101" s="1"/>
  <c r="CI90" i="3"/>
  <c r="D7" i="101"/>
  <c r="L7" i="97"/>
  <c r="D8" i="101" s="1"/>
  <c r="L9" i="97"/>
  <c r="F8" i="101" s="1"/>
  <c r="F7"/>
  <c r="CD5" i="3"/>
  <c r="CD23"/>
  <c r="CD17"/>
  <c r="CD9"/>
  <c r="CD11"/>
  <c r="CD13"/>
  <c r="CD21"/>
  <c r="CD19"/>
  <c r="CF20"/>
  <c r="CD15"/>
  <c r="H27" i="22"/>
  <c r="G14"/>
  <c r="G16"/>
  <c r="H7"/>
  <c r="H15"/>
  <c r="H22"/>
  <c r="H25"/>
  <c r="G18"/>
  <c r="H9"/>
  <c r="G11"/>
  <c r="H20"/>
  <c r="G20"/>
  <c r="G9"/>
  <c r="H36"/>
  <c r="H23"/>
  <c r="G12"/>
  <c r="H31"/>
  <c r="G27"/>
  <c r="H29"/>
  <c r="H16"/>
  <c r="G25"/>
  <c r="G17"/>
  <c r="H17"/>
  <c r="H13"/>
  <c r="H14"/>
  <c r="G40"/>
  <c r="H21"/>
  <c r="G36"/>
  <c r="G38"/>
  <c r="G29"/>
  <c r="G31"/>
  <c r="H38"/>
  <c r="G22"/>
  <c r="G34"/>
  <c r="G19"/>
  <c r="G21"/>
  <c r="G10"/>
  <c r="G23"/>
  <c r="G15"/>
  <c r="G7"/>
  <c r="H10"/>
  <c r="G13"/>
  <c r="H11"/>
  <c r="H18"/>
  <c r="H12"/>
  <c r="H19"/>
  <c r="H34"/>
  <c r="H40"/>
  <c r="H6"/>
  <c r="G6"/>
  <c r="T20" i="96" l="1"/>
  <c r="AC28"/>
  <c r="K24"/>
  <c r="AC19"/>
  <c r="N30"/>
  <c r="Q9"/>
  <c r="AC57"/>
  <c r="Z43"/>
  <c r="N60"/>
  <c r="K33"/>
  <c r="N51"/>
  <c r="K13"/>
  <c r="K54"/>
  <c r="K36"/>
  <c r="K35"/>
  <c r="T25"/>
  <c r="K16"/>
  <c r="Z51"/>
  <c r="T16"/>
  <c r="T55"/>
  <c r="Z35"/>
  <c r="Q47"/>
  <c r="Z36"/>
  <c r="T58"/>
  <c r="Z63"/>
  <c r="AC12"/>
  <c r="W9"/>
  <c r="K42"/>
  <c r="Z42"/>
  <c r="Z33"/>
  <c r="AC9"/>
  <c r="Q34"/>
  <c r="W19"/>
  <c r="Z21"/>
  <c r="Z28"/>
  <c r="K7"/>
  <c r="AC37"/>
  <c r="N11"/>
  <c r="W24"/>
  <c r="W56"/>
  <c r="T36"/>
  <c r="K26"/>
  <c r="W35"/>
  <c r="Q64"/>
  <c r="W47"/>
  <c r="Z31"/>
  <c r="AC29"/>
  <c r="Q19"/>
  <c r="W62"/>
  <c r="W36"/>
  <c r="N18"/>
  <c r="Q11"/>
  <c r="I93" i="24"/>
  <c r="F102"/>
  <c r="O69"/>
  <c r="E63"/>
  <c r="D84"/>
  <c r="J108"/>
  <c r="E72"/>
  <c r="L75"/>
  <c r="O72"/>
  <c r="L96"/>
  <c r="H78"/>
  <c r="D108"/>
  <c r="H93"/>
  <c r="E105"/>
  <c r="K99"/>
  <c r="O102"/>
  <c r="J72"/>
  <c r="L102"/>
  <c r="G72"/>
  <c r="H28" i="22"/>
  <c r="G105" i="24"/>
  <c r="O66"/>
  <c r="M96"/>
  <c r="E78"/>
  <c r="G90"/>
  <c r="N66"/>
  <c r="N8" i="96"/>
  <c r="M75" i="24"/>
  <c r="G78"/>
  <c r="L72"/>
  <c r="L99"/>
  <c r="N96"/>
  <c r="M99"/>
  <c r="N87"/>
  <c r="K69"/>
  <c r="M105"/>
  <c r="G84"/>
  <c r="D105"/>
  <c r="M90"/>
  <c r="K75"/>
  <c r="F75"/>
  <c r="F63"/>
  <c r="I108"/>
  <c r="F84"/>
  <c r="M108"/>
  <c r="E87"/>
  <c r="E108"/>
  <c r="J105"/>
  <c r="F90"/>
  <c r="H84"/>
  <c r="H87"/>
  <c r="F66"/>
  <c r="O63"/>
  <c r="H99"/>
  <c r="H24" i="22"/>
  <c r="J20"/>
  <c r="I20"/>
  <c r="I9"/>
  <c r="J9"/>
  <c r="H26"/>
  <c r="L63" i="24"/>
  <c r="N108"/>
  <c r="N63"/>
  <c r="K102"/>
  <c r="N90"/>
  <c r="E96"/>
  <c r="I81"/>
  <c r="F108"/>
  <c r="G63"/>
  <c r="E84"/>
  <c r="M69"/>
  <c r="D78"/>
  <c r="O87"/>
  <c r="I84"/>
  <c r="G75"/>
  <c r="J75"/>
  <c r="F93"/>
  <c r="O90"/>
  <c r="L66"/>
  <c r="N99"/>
  <c r="D69"/>
  <c r="O75"/>
  <c r="L105"/>
  <c r="J93"/>
  <c r="I90"/>
  <c r="L81"/>
  <c r="F87"/>
  <c r="O108"/>
  <c r="G96"/>
  <c r="L84"/>
  <c r="E93"/>
  <c r="I69"/>
  <c r="K78"/>
  <c r="D81"/>
  <c r="H96"/>
  <c r="I105"/>
  <c r="D99"/>
  <c r="J78"/>
  <c r="N102"/>
  <c r="N93"/>
  <c r="BZ6" i="3"/>
  <c r="BW5" s="1"/>
  <c r="J102" i="24"/>
  <c r="G93"/>
  <c r="K81"/>
  <c r="F96"/>
  <c r="I96"/>
  <c r="D66"/>
  <c r="M84"/>
  <c r="I87"/>
  <c r="O96"/>
  <c r="E90"/>
  <c r="L87"/>
  <c r="K63"/>
  <c r="N81"/>
  <c r="G87"/>
  <c r="M63"/>
  <c r="O99"/>
  <c r="D93"/>
  <c r="H72"/>
  <c r="H90"/>
  <c r="M81"/>
  <c r="I63"/>
  <c r="CC89" i="3"/>
  <c r="CM85" s="1"/>
  <c r="D5" s="1"/>
  <c r="D6" s="1"/>
  <c r="L78" i="24"/>
  <c r="D90"/>
  <c r="H81"/>
  <c r="O93"/>
  <c r="O84"/>
  <c r="D63"/>
  <c r="E75"/>
  <c r="I75"/>
  <c r="N105"/>
  <c r="M72"/>
  <c r="H63"/>
  <c r="K96"/>
  <c r="F99"/>
  <c r="F72"/>
  <c r="K93"/>
  <c r="O81"/>
  <c r="H69"/>
  <c r="M87"/>
  <c r="AC6" i="96"/>
  <c r="BZ22" i="3"/>
  <c r="BW14" s="1"/>
  <c r="H108" i="24"/>
  <c r="L93"/>
  <c r="J63"/>
  <c r="E99"/>
  <c r="I66"/>
  <c r="I14" i="22"/>
  <c r="J14"/>
  <c r="I17"/>
  <c r="J17"/>
  <c r="J25"/>
  <c r="I25"/>
  <c r="J16"/>
  <c r="I16"/>
  <c r="H30"/>
  <c r="I27"/>
  <c r="J27"/>
  <c r="H32"/>
  <c r="H33"/>
  <c r="BZ10" i="3"/>
  <c r="BX6" s="1"/>
  <c r="BZ12"/>
  <c r="BW8" s="1"/>
  <c r="J69" i="24"/>
  <c r="I72"/>
  <c r="BZ8" i="3"/>
  <c r="BW6" s="1"/>
  <c r="G102" i="24"/>
  <c r="Q35" i="96"/>
  <c r="K72" i="24"/>
  <c r="F78"/>
  <c r="I78"/>
  <c r="N69"/>
  <c r="F69"/>
  <c r="J99"/>
  <c r="L69"/>
  <c r="N72"/>
  <c r="BZ4" i="3"/>
  <c r="BW4" s="1"/>
  <c r="BZ20"/>
  <c r="BW13" s="1"/>
  <c r="BZ16"/>
  <c r="BW11" s="1"/>
  <c r="H102" i="24"/>
  <c r="BZ120" i="3"/>
  <c r="BZ125" s="1"/>
  <c r="BZ18"/>
  <c r="BW12" s="1"/>
  <c r="D75" i="24"/>
  <c r="M93"/>
  <c r="K27" i="96"/>
  <c r="W18"/>
  <c r="Q55"/>
  <c r="Z10"/>
  <c r="E102" i="24"/>
  <c r="F81"/>
  <c r="H105"/>
  <c r="G66"/>
  <c r="J66"/>
  <c r="O105"/>
  <c r="K105"/>
  <c r="N84"/>
  <c r="D87"/>
  <c r="L90"/>
  <c r="M102"/>
  <c r="G35" i="22"/>
  <c r="I22"/>
  <c r="G28"/>
  <c r="G26"/>
  <c r="J22"/>
  <c r="I38"/>
  <c r="J38" s="1"/>
  <c r="G33"/>
  <c r="I31"/>
  <c r="J31"/>
  <c r="G32"/>
  <c r="J29"/>
  <c r="I29"/>
  <c r="G30"/>
  <c r="I36"/>
  <c r="J36" s="1"/>
  <c r="N9" i="96"/>
  <c r="Z55"/>
  <c r="AC56"/>
  <c r="Q29"/>
  <c r="W51"/>
  <c r="Q58"/>
  <c r="W16"/>
  <c r="N6"/>
  <c r="K48"/>
  <c r="K62"/>
  <c r="T44"/>
  <c r="Q17"/>
  <c r="N47"/>
  <c r="Z57"/>
  <c r="Z12"/>
  <c r="W55"/>
  <c r="Z15"/>
  <c r="T23"/>
  <c r="T62"/>
  <c r="K46"/>
  <c r="T29"/>
  <c r="Q57"/>
  <c r="Q6"/>
  <c r="Q37"/>
  <c r="Q22"/>
  <c r="K61"/>
  <c r="W61"/>
  <c r="W57"/>
  <c r="K31"/>
  <c r="W12"/>
  <c r="T50"/>
  <c r="W23"/>
  <c r="Q36"/>
  <c r="Q18"/>
  <c r="Z52"/>
  <c r="Q60"/>
  <c r="Q63"/>
  <c r="Z27"/>
  <c r="T24"/>
  <c r="K90" i="24"/>
  <c r="J90"/>
  <c r="J87"/>
  <c r="O78"/>
  <c r="D96"/>
  <c r="N58" i="96"/>
  <c r="AC13"/>
  <c r="Z50"/>
  <c r="W46"/>
  <c r="K8"/>
  <c r="T13"/>
  <c r="Q56"/>
  <c r="I19" i="22"/>
  <c r="J19"/>
  <c r="I12"/>
  <c r="J12"/>
  <c r="I18"/>
  <c r="J18"/>
  <c r="J11"/>
  <c r="I11"/>
  <c r="I13"/>
  <c r="J13"/>
  <c r="J10"/>
  <c r="I10"/>
  <c r="J7"/>
  <c r="I7"/>
  <c r="J15"/>
  <c r="I15"/>
  <c r="I23"/>
  <c r="J23"/>
  <c r="G24"/>
  <c r="I24" s="1"/>
  <c r="I21"/>
  <c r="J21"/>
  <c r="AC58" i="96"/>
  <c r="Z44"/>
  <c r="T57"/>
  <c r="Z18"/>
  <c r="K60"/>
  <c r="AC54"/>
  <c r="N23"/>
  <c r="K63"/>
  <c r="K10"/>
  <c r="W42"/>
  <c r="AC42"/>
  <c r="N17"/>
  <c r="W58"/>
  <c r="W34"/>
  <c r="Z9"/>
  <c r="W17"/>
  <c r="W22"/>
  <c r="AC63"/>
  <c r="Q43"/>
  <c r="Z23"/>
  <c r="AC33"/>
  <c r="W41"/>
  <c r="AC20"/>
  <c r="Z24"/>
  <c r="N31"/>
  <c r="W53"/>
  <c r="W60"/>
  <c r="W48"/>
  <c r="AC10"/>
  <c r="T41"/>
  <c r="N32"/>
  <c r="W39"/>
  <c r="K34"/>
  <c r="K19"/>
  <c r="Q49"/>
  <c r="Q20"/>
  <c r="W13"/>
  <c r="K51"/>
  <c r="N52"/>
  <c r="Q31"/>
  <c r="N12"/>
  <c r="W40"/>
  <c r="K39"/>
  <c r="W20"/>
  <c r="K25"/>
  <c r="AC17"/>
  <c r="G41" i="22"/>
  <c r="G8"/>
  <c r="G37"/>
  <c r="G39"/>
  <c r="J6"/>
  <c r="H39"/>
  <c r="I6"/>
  <c r="H37"/>
  <c r="H8"/>
  <c r="H41"/>
  <c r="I40"/>
  <c r="J40" s="1"/>
  <c r="H35"/>
  <c r="I34"/>
  <c r="J34" s="1"/>
  <c r="CF13" i="3"/>
  <c r="BZ13" s="1"/>
  <c r="BX8" s="1"/>
  <c r="CF7"/>
  <c r="BZ7" s="1"/>
  <c r="BX5" s="1"/>
  <c r="CF17"/>
  <c r="BZ17" s="1"/>
  <c r="BX11" s="1"/>
  <c r="CF5"/>
  <c r="BZ5" s="1"/>
  <c r="BX4" s="1"/>
  <c r="CF19"/>
  <c r="BZ19" s="1"/>
  <c r="BX12" s="1"/>
  <c r="CF9"/>
  <c r="BZ9" s="1"/>
  <c r="CF15"/>
  <c r="BZ15" s="1"/>
  <c r="BX10" s="1"/>
  <c r="CF11"/>
  <c r="BZ11" s="1"/>
  <c r="BX7" s="1"/>
  <c r="CF21"/>
  <c r="BZ21" s="1"/>
  <c r="BX13" s="1"/>
  <c r="CF23"/>
  <c r="BZ23" s="1"/>
  <c r="BX14" s="1"/>
  <c r="Z61" i="96"/>
  <c r="Z60"/>
  <c r="K45"/>
  <c r="T10"/>
  <c r="Q51"/>
  <c r="N13"/>
  <c r="W37"/>
  <c r="Z13"/>
  <c r="Q26"/>
  <c r="Q24"/>
  <c r="T19"/>
  <c r="T22"/>
  <c r="W29"/>
  <c r="AC47"/>
  <c r="AC55"/>
  <c r="T28"/>
  <c r="AC43"/>
  <c r="W59"/>
  <c r="W26"/>
  <c r="Z37"/>
  <c r="T38"/>
  <c r="K53"/>
  <c r="Z46"/>
  <c r="W64"/>
  <c r="AC15"/>
  <c r="N50"/>
  <c r="T59"/>
  <c r="Z11"/>
  <c r="K11"/>
  <c r="N48"/>
  <c r="K49"/>
  <c r="Q62"/>
  <c r="N63"/>
  <c r="K64"/>
  <c r="T37"/>
  <c r="T39"/>
  <c r="Z26"/>
  <c r="W31"/>
  <c r="N7"/>
  <c r="T54"/>
  <c r="W54"/>
  <c r="T56"/>
  <c r="Q12"/>
  <c r="AC34"/>
  <c r="Q13"/>
  <c r="Z14"/>
  <c r="T46"/>
  <c r="N49"/>
  <c r="K12"/>
  <c r="N36"/>
  <c r="AC61"/>
  <c r="Q23"/>
  <c r="N45"/>
  <c r="Z22"/>
  <c r="AC8"/>
  <c r="Z7"/>
  <c r="AC30"/>
  <c r="K44"/>
  <c r="AC49"/>
  <c r="W44"/>
  <c r="K18"/>
  <c r="N14"/>
  <c r="N19"/>
  <c r="AC16"/>
  <c r="K58"/>
  <c r="W7"/>
  <c r="Z29"/>
  <c r="N61"/>
  <c r="K43"/>
  <c r="T31"/>
  <c r="Q32"/>
  <c r="Q27"/>
  <c r="AC22"/>
  <c r="N55"/>
  <c r="Z59"/>
  <c r="Z49"/>
  <c r="Z25"/>
  <c r="T35"/>
  <c r="T15"/>
  <c r="T47"/>
  <c r="T21"/>
  <c r="Z6"/>
  <c r="W25"/>
  <c r="Q15"/>
  <c r="Q28"/>
  <c r="Q40"/>
  <c r="T27"/>
  <c r="Z38"/>
  <c r="K32"/>
  <c r="Q41"/>
  <c r="Q48"/>
  <c r="K41"/>
  <c r="Q10"/>
  <c r="N21"/>
  <c r="N26"/>
  <c r="W14"/>
  <c r="K22"/>
  <c r="N59"/>
  <c r="Q16"/>
  <c r="T33"/>
  <c r="T17"/>
  <c r="AC21"/>
  <c r="N44"/>
  <c r="K6"/>
  <c r="N29"/>
  <c r="AC7"/>
  <c r="AC52"/>
  <c r="Z48"/>
  <c r="AC35"/>
  <c r="Q59"/>
  <c r="W32"/>
  <c r="AC64"/>
  <c r="Z56"/>
  <c r="N25"/>
  <c r="W10"/>
  <c r="Z47"/>
  <c r="N24"/>
  <c r="T9"/>
  <c r="T45"/>
  <c r="N37"/>
  <c r="K52"/>
  <c r="K15"/>
  <c r="Q52"/>
  <c r="T49"/>
  <c r="W38"/>
  <c r="K20"/>
  <c r="AC26"/>
  <c r="AC14"/>
  <c r="T51"/>
  <c r="N40"/>
  <c r="T53"/>
  <c r="K21"/>
  <c r="T64"/>
  <c r="AC53"/>
  <c r="T11"/>
  <c r="N10"/>
  <c r="AC60"/>
  <c r="N43"/>
  <c r="T60"/>
  <c r="Q21"/>
  <c r="K59"/>
  <c r="K47"/>
  <c r="Z54"/>
  <c r="Z19"/>
  <c r="AC27"/>
  <c r="N20"/>
  <c r="Q25"/>
  <c r="W15"/>
  <c r="AC45"/>
  <c r="Z53"/>
  <c r="T26"/>
  <c r="AC48"/>
  <c r="N28"/>
  <c r="W27"/>
  <c r="K38"/>
  <c r="Z34"/>
  <c r="K14"/>
  <c r="AC39"/>
  <c r="T8"/>
  <c r="Q50"/>
  <c r="T40"/>
  <c r="T32"/>
  <c r="Q45"/>
  <c r="N35"/>
  <c r="K17"/>
  <c r="N53"/>
  <c r="Z41"/>
  <c r="Q14"/>
  <c r="K55"/>
  <c r="K37"/>
  <c r="K57"/>
  <c r="Z64"/>
  <c r="AC51"/>
  <c r="W49"/>
  <c r="N64"/>
  <c r="N33"/>
  <c r="N56"/>
  <c r="Q39"/>
  <c r="Q7"/>
  <c r="Q46"/>
  <c r="W45"/>
  <c r="Z32"/>
  <c r="AC18"/>
  <c r="T63"/>
  <c r="N42"/>
  <c r="K56"/>
  <c r="T18"/>
  <c r="T7"/>
  <c r="K23"/>
  <c r="Q53"/>
  <c r="T34"/>
  <c r="N15"/>
  <c r="K29"/>
  <c r="Q42"/>
  <c r="Z17"/>
  <c r="T61"/>
  <c r="AC36"/>
  <c r="W30"/>
  <c r="W52"/>
  <c r="N34"/>
  <c r="K50"/>
  <c r="K30"/>
  <c r="AC50"/>
  <c r="N62"/>
  <c r="W11"/>
  <c r="K40"/>
  <c r="Z58"/>
  <c r="N38"/>
  <c r="W8"/>
  <c r="Q44"/>
  <c r="Z16"/>
  <c r="Q8"/>
  <c r="Z62"/>
  <c r="Z39"/>
  <c r="N16"/>
  <c r="AC41"/>
  <c r="N22"/>
  <c r="N27"/>
  <c r="N41"/>
  <c r="W6"/>
  <c r="Q54"/>
  <c r="K28"/>
  <c r="AC25"/>
  <c r="Q61"/>
  <c r="K9"/>
  <c r="T43"/>
  <c r="AC11"/>
  <c r="AC59"/>
  <c r="W21"/>
  <c r="T6"/>
  <c r="W33"/>
  <c r="AC44"/>
  <c r="Q38"/>
  <c r="W28"/>
  <c r="Q30"/>
  <c r="AC32"/>
  <c r="W50"/>
  <c r="AC62"/>
  <c r="AC24"/>
  <c r="N46"/>
  <c r="Z30"/>
  <c r="T14"/>
  <c r="T48"/>
  <c r="Z45"/>
  <c r="AC38"/>
  <c r="T30"/>
  <c r="T52"/>
  <c r="W63"/>
  <c r="AC23"/>
  <c r="AC40"/>
  <c r="T42"/>
  <c r="AC46"/>
  <c r="W43"/>
  <c r="Z8"/>
  <c r="Z40"/>
  <c r="N39"/>
  <c r="N54"/>
  <c r="AC31"/>
  <c r="Z20"/>
  <c r="BZ14" i="3"/>
  <c r="BW10" s="1"/>
  <c r="P56"/>
  <c r="CM104"/>
  <c r="CM105"/>
  <c r="CM100"/>
  <c r="CM102"/>
  <c r="CM103"/>
  <c r="CM101"/>
  <c r="CM87"/>
  <c r="F19" s="1"/>
  <c r="I28" i="22" l="1"/>
  <c r="BW7" i="3"/>
  <c r="I26" i="22"/>
  <c r="I33"/>
  <c r="I32"/>
  <c r="I30"/>
  <c r="I37"/>
  <c r="I39"/>
  <c r="I8"/>
  <c r="I35"/>
  <c r="I41"/>
  <c r="D19" i="3"/>
  <c r="G19" s="1"/>
  <c r="F5"/>
  <c r="G5" s="1"/>
  <c r="F6" l="1"/>
</calcChain>
</file>

<file path=xl/sharedStrings.xml><?xml version="1.0" encoding="utf-8"?>
<sst xmlns="http://schemas.openxmlformats.org/spreadsheetml/2006/main" count="20021" uniqueCount="1478">
  <si>
    <t>всего:</t>
  </si>
  <si>
    <t>------------</t>
  </si>
  <si>
    <t>БОГОТОЛЬСКИЙ</t>
  </si>
  <si>
    <t>ЖЕЛЕЗНОГОРСК</t>
  </si>
  <si>
    <t>ЛЕСОСИБИРСКУ</t>
  </si>
  <si>
    <t>МОТЫГИНСКОМУ</t>
  </si>
  <si>
    <t>С-ЕНИСЕЙСКОМ</t>
  </si>
  <si>
    <t>ЗЕЛЕНОГОРСКУ</t>
  </si>
  <si>
    <t>ИРБЕЙСКИЙ</t>
  </si>
  <si>
    <t>НИЖНЕИНГАШСК</t>
  </si>
  <si>
    <t>ФСКН</t>
  </si>
  <si>
    <t>Зарегистрировано</t>
  </si>
  <si>
    <t>Расследовано</t>
  </si>
  <si>
    <t>всего</t>
  </si>
  <si>
    <t>рассл.закон.</t>
  </si>
  <si>
    <t>зарегистрировано</t>
  </si>
  <si>
    <t>расследовано</t>
  </si>
  <si>
    <t>---------</t>
  </si>
  <si>
    <t>январь</t>
  </si>
  <si>
    <t>февраль</t>
  </si>
  <si>
    <t>март</t>
  </si>
  <si>
    <t>Всего</t>
  </si>
  <si>
    <t>Город</t>
  </si>
  <si>
    <t>Бирилюсский</t>
  </si>
  <si>
    <t>Бородино</t>
  </si>
  <si>
    <t>Дивногорск</t>
  </si>
  <si>
    <t>Железногорск</t>
  </si>
  <si>
    <t>Зеленогорск</t>
  </si>
  <si>
    <t>Игарка</t>
  </si>
  <si>
    <t>Иланский</t>
  </si>
  <si>
    <t>Канск</t>
  </si>
  <si>
    <t>Лесосибирск</t>
  </si>
  <si>
    <t>Минусинск</t>
  </si>
  <si>
    <t>Норильск</t>
  </si>
  <si>
    <t>Сосновоборск</t>
  </si>
  <si>
    <t>ВСЕГО</t>
  </si>
  <si>
    <t>несовершеннолетними</t>
  </si>
  <si>
    <t>-------------------------------------------------------------------------------------------------------</t>
  </si>
  <si>
    <t>ОРГ.ГРУППА</t>
  </si>
  <si>
    <t>Изнасилований</t>
  </si>
  <si>
    <t>текущий год</t>
  </si>
  <si>
    <t>предыдущий год</t>
  </si>
  <si>
    <t>разбоев</t>
  </si>
  <si>
    <t>грабежей</t>
  </si>
  <si>
    <t>хулиганств</t>
  </si>
  <si>
    <t>Краж</t>
  </si>
  <si>
    <t>вымогательство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</si>
  <si>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</si>
  <si>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</si>
  <si>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</si>
  <si>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</si>
  <si>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</si>
  <si>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</si>
  <si>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</si>
  <si>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</si>
  <si>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</si>
  <si>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</si>
  <si>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</si>
  <si>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</si>
  <si>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</si>
  <si>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</si>
  <si>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</si>
  <si>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</si>
  <si>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</si>
  <si>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</si>
  <si>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</si>
  <si>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</si>
  <si>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</si>
  <si>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Центральный район</t>
  </si>
  <si>
    <t>Октябрьский район</t>
  </si>
  <si>
    <t>Кировский район</t>
  </si>
  <si>
    <t>Ленинский район</t>
  </si>
  <si>
    <t>Советский район</t>
  </si>
  <si>
    <t>Свердловский район</t>
  </si>
  <si>
    <t>Железнодорожный район</t>
  </si>
  <si>
    <t>Прокуратура г. Красноярска</t>
  </si>
  <si>
    <t>Абанский район</t>
  </si>
  <si>
    <t>Ачинский район</t>
  </si>
  <si>
    <t>Балахтинский район</t>
  </si>
  <si>
    <t>Березовский район</t>
  </si>
  <si>
    <t>Б-Муртинский район</t>
  </si>
  <si>
    <t>Боготольский район</t>
  </si>
  <si>
    <t>Богучанский район</t>
  </si>
  <si>
    <t>Б-Улуйский район</t>
  </si>
  <si>
    <t>Дзержинский район</t>
  </si>
  <si>
    <t>Емельяновский район</t>
  </si>
  <si>
    <t>Енисейский район</t>
  </si>
  <si>
    <t>Ермаковский район</t>
  </si>
  <si>
    <t>Идринский  район</t>
  </si>
  <si>
    <t>Ирбейский район</t>
  </si>
  <si>
    <t>Казачинский район</t>
  </si>
  <si>
    <t>Каратузский  район</t>
  </si>
  <si>
    <t>Кежемский район</t>
  </si>
  <si>
    <t>Козульский район</t>
  </si>
  <si>
    <t>Краснотуранский район</t>
  </si>
  <si>
    <t>Курагинский район</t>
  </si>
  <si>
    <t>Манский район</t>
  </si>
  <si>
    <t>Мотыгинский район</t>
  </si>
  <si>
    <t>Назарово</t>
  </si>
  <si>
    <t>Н-Ингашский район</t>
  </si>
  <si>
    <t>Новоселовский район</t>
  </si>
  <si>
    <t>Партизанский район</t>
  </si>
  <si>
    <t>Пировский район</t>
  </si>
  <si>
    <t>Рыбинский район</t>
  </si>
  <si>
    <t>Саянский район</t>
  </si>
  <si>
    <t>С-Енисейский район</t>
  </si>
  <si>
    <t>Сухобузимский район</t>
  </si>
  <si>
    <t>Таймырский  район</t>
  </si>
  <si>
    <t>Тасеевский  район</t>
  </si>
  <si>
    <t>Туруханский район</t>
  </si>
  <si>
    <t>Тюхтетский район</t>
  </si>
  <si>
    <t>Ужурский район</t>
  </si>
  <si>
    <t>Уярский район</t>
  </si>
  <si>
    <t>Шарыповский район</t>
  </si>
  <si>
    <t>Шушенский район</t>
  </si>
  <si>
    <t>Эвенкийский  район</t>
  </si>
  <si>
    <t>Красноярский край</t>
  </si>
  <si>
    <t>г. Красноярск</t>
  </si>
  <si>
    <t>1. ВСЕГО</t>
  </si>
  <si>
    <t>№ 2.3</t>
  </si>
  <si>
    <t>2. В т.ч. тяжких и особо тяжких</t>
  </si>
  <si>
    <t xml:space="preserve">   % к строке 1 (уд.вес от всего зарегистр.)</t>
  </si>
  <si>
    <t>X</t>
  </si>
  <si>
    <t>Х</t>
  </si>
  <si>
    <t>3. Умышленные убийства (ст.ст.105-107)</t>
  </si>
  <si>
    <t>№ 2.6</t>
  </si>
  <si>
    <t xml:space="preserve">4. Умышленное причинение тяжкого вреда здор.  </t>
  </si>
  <si>
    <t>№ 2.7</t>
  </si>
  <si>
    <t>5. в т.ч. со смерт.исходом (ч.4)</t>
  </si>
  <si>
    <t>6. Изнасилование (ст.131)</t>
  </si>
  <si>
    <t>7. Кражи (ст.158)</t>
  </si>
  <si>
    <t>№ 2.8</t>
  </si>
  <si>
    <t>8. В т.ч. из квартир</t>
  </si>
  <si>
    <t>9. Грабежи (ст.161)</t>
  </si>
  <si>
    <t>10. Разбои (ст.162)</t>
  </si>
  <si>
    <t>11. Хулиганство (ст.213)</t>
  </si>
  <si>
    <t xml:space="preserve">12. ДТП со смерт. исходом (ст.264 ч.2 и 3)    </t>
  </si>
  <si>
    <t>13. Преступления, связанные с наркотиками</t>
  </si>
  <si>
    <t>№ 2.5</t>
  </si>
  <si>
    <t>14. Поджоги</t>
  </si>
  <si>
    <t>17. Взяточничество (ст.290, 291)</t>
  </si>
  <si>
    <t>№ 16.2.1</t>
  </si>
  <si>
    <t xml:space="preserve">18. Всего эконом. прест-ний   </t>
  </si>
  <si>
    <t xml:space="preserve">19. Всего расслед. прест-ний  </t>
  </si>
  <si>
    <t>20. Несовершеннолетними</t>
  </si>
  <si>
    <t>21. В состоянии алк.опьянения</t>
  </si>
  <si>
    <t xml:space="preserve">22. Ранее совершав. прест.  </t>
  </si>
  <si>
    <t>23. В группе</t>
  </si>
  <si>
    <t>24. В т.ч. организованной</t>
  </si>
  <si>
    <t xml:space="preserve">25. Лицами, не имеющими пост. источника дохода  </t>
  </si>
  <si>
    <t>26. В общественных местах</t>
  </si>
  <si>
    <t xml:space="preserve">     % к стр.1 (уд. вес от зарегистрированных)</t>
  </si>
  <si>
    <t>27. В т.ч. на улицах</t>
  </si>
  <si>
    <t xml:space="preserve">28. С примен. огнестр. оружия  </t>
  </si>
  <si>
    <t>№ 2.4</t>
  </si>
  <si>
    <t>Зарегистрировано преступлений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</si>
  <si>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</si>
  <si>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</si>
  <si>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</si>
  <si>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</si>
  <si>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</si>
  <si>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</si>
  <si>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</si>
  <si>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</si>
  <si>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</si>
  <si>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</si>
  <si>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</si>
  <si>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</si>
  <si>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7. Кражи (ст.157)</t>
  </si>
  <si>
    <t>№ 2.9</t>
  </si>
  <si>
    <t>№ 2/9</t>
  </si>
  <si>
    <t>7. Кражи (ст.1267)</t>
  </si>
  <si>
    <t xml:space="preserve">СВЕДЕНИЯ          </t>
  </si>
  <si>
    <t>С о в е р ш е н о    п р е с т у п л е н и й</t>
  </si>
  <si>
    <t>Край</t>
  </si>
  <si>
    <t>+ / -</t>
  </si>
  <si>
    <t>%</t>
  </si>
  <si>
    <t xml:space="preserve"> о  зарегистрированных преступлениях 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</si>
  <si>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</si>
  <si>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</si>
  <si>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</si>
  <si>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</si>
  <si>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</si>
  <si>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</si>
  <si>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</si>
  <si>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</si>
  <si>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</si>
  <si>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</si>
  <si>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</si>
  <si>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</si>
  <si>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СБОРНИК2.3</t>
  </si>
  <si>
    <t>СБОРНИК2.4</t>
  </si>
  <si>
    <t>СБОРНИК2.5</t>
  </si>
  <si>
    <t>СБОРНИК2.6</t>
  </si>
  <si>
    <t>СБОРНИК2.7</t>
  </si>
  <si>
    <t>СБОРНИК2.8</t>
  </si>
  <si>
    <t>СБОРНИК2.9</t>
  </si>
  <si>
    <t>ПРЕСТУПЛЕНИЯЭКОНОМИЧЕСКОЙНАПРАВЛЕННОСТИ</t>
  </si>
  <si>
    <t>СБОРНИК16.2.1</t>
  </si>
  <si>
    <t>ткеущиймесяц</t>
  </si>
  <si>
    <t>зарегистрированосначалагода</t>
  </si>
  <si>
    <t>рост,снижен.в%</t>
  </si>
  <si>
    <t>приост.208п.1-3</t>
  </si>
  <si>
    <t>%раскрываемости</t>
  </si>
  <si>
    <t>Тяжкихиособотяжких</t>
  </si>
  <si>
    <t>остатокпрестсвышеуст.Срокарасслед.</t>
  </si>
  <si>
    <t>предварит.следствиенеобязательно</t>
  </si>
  <si>
    <t>предварит.следствиеобязательно</t>
  </si>
  <si>
    <t>Прест.дв.превенции</t>
  </si>
  <si>
    <t>совершеносприменениеоруж.Ивзрыв</t>
  </si>
  <si>
    <t>изчислазарегистрированныхсовершенывобщественныхместах</t>
  </si>
  <si>
    <t>Преступлениясвязанныеснаркотиками</t>
  </si>
  <si>
    <t>изчисларасследованныхсовершены</t>
  </si>
  <si>
    <t>Умышленныхубийств</t>
  </si>
  <si>
    <t>Умышленноепричинениетяжкоговредаздоровью</t>
  </si>
  <si>
    <t>изнихсосмертельнымисходом</t>
  </si>
  <si>
    <t>умышленногоуничтоженияимуществапутемподжога</t>
  </si>
  <si>
    <t>вт.ч.Спроникновениемвквартиры</t>
  </si>
  <si>
    <t>ДТПсомертельнымисходом</t>
  </si>
  <si>
    <t>Мошенничествост.159-159.6УКРФ</t>
  </si>
  <si>
    <t>неправомерноезавладениетр.средствами</t>
  </si>
  <si>
    <t>расследованиезакончено</t>
  </si>
  <si>
    <t>удельныйвесвозмещенияущерба</t>
  </si>
  <si>
    <t>прествсего</t>
  </si>
  <si>
    <t>изних</t>
  </si>
  <si>
    <t>противинтересовслужбы201-204</t>
  </si>
  <si>
    <t>вт.ч.Ст.204</t>
  </si>
  <si>
    <t>противгосвласти285-293</t>
  </si>
  <si>
    <t>втомчислевзяточниство</t>
  </si>
  <si>
    <t>изнихст.209</t>
  </si>
  <si>
    <t>пред.расследнеобяз.</t>
  </si>
  <si>
    <t>втомчисле</t>
  </si>
  <si>
    <t>вт.ч.поп.2</t>
  </si>
  <si>
    <t>приостпоп.1-3ст.208</t>
  </si>
  <si>
    <t>приостанов.1-3ст.208</t>
  </si>
  <si>
    <t>всегозарегистрировано</t>
  </si>
  <si>
    <t>+/-в%:</t>
  </si>
  <si>
    <t>удельныйвес</t>
  </si>
  <si>
    <t>тяжкиеиО.тяжкие</t>
  </si>
  <si>
    <t>вт.ч.Наулицах</t>
  </si>
  <si>
    <t>неимеющимипост.иисточникадохода</t>
  </si>
  <si>
    <t>всостоянииалкогольногоопьянения</t>
  </si>
  <si>
    <t>ранеесовершавшимипреступления</t>
  </si>
  <si>
    <t>вгруппе</t>
  </si>
  <si>
    <t>закон.Расследование</t>
  </si>
  <si>
    <t>приостановп1-3ст.208</t>
  </si>
  <si>
    <t>ростснижение%</t>
  </si>
  <si>
    <t>рост-сниж%</t>
  </si>
  <si>
    <t>следствиеобязательно</t>
  </si>
  <si>
    <t>тяжкихио.тяжких</t>
  </si>
  <si>
    <t>ст.171ч.2и171.1</t>
  </si>
  <si>
    <t>ст.173</t>
  </si>
  <si>
    <t>ст.174и174.1</t>
  </si>
  <si>
    <t>ст.186</t>
  </si>
  <si>
    <t>ст.188</t>
  </si>
  <si>
    <t>ст.191</t>
  </si>
  <si>
    <t>ст.159ч.1</t>
  </si>
  <si>
    <t>ст.160ч.1</t>
  </si>
  <si>
    <t>ст.171ч.1</t>
  </si>
  <si>
    <t>ст.177</t>
  </si>
  <si>
    <t>удвес%</t>
  </si>
  <si>
    <t>уделвес</t>
  </si>
  <si>
    <t>ПРСГОВОР</t>
  </si>
  <si>
    <t>УДВЕС</t>
  </si>
  <si>
    <t>Необходимо ваыбрать район и месяц:</t>
  </si>
  <si>
    <t>Необходимо выбрать район :</t>
  </si>
  <si>
    <t>ЗАРЕГИСТРИРОВАНО</t>
  </si>
  <si>
    <t>тяжких и особо тяжких</t>
  </si>
  <si>
    <t>АППГ</t>
  </si>
  <si>
    <t>текущий</t>
  </si>
  <si>
    <t>без наростающего итога:</t>
  </si>
  <si>
    <t xml:space="preserve">МО МВД      </t>
  </si>
  <si>
    <t>БАЛАХТИНСКИЙ</t>
  </si>
  <si>
    <t>КРАСНОТУРАНС</t>
  </si>
  <si>
    <t xml:space="preserve">КУРАГИНСКИЙ </t>
  </si>
  <si>
    <t xml:space="preserve">МИНУСИНСКИЙ </t>
  </si>
  <si>
    <t xml:space="preserve">ОМВД        </t>
  </si>
  <si>
    <t xml:space="preserve">УЖУРСКИЙ    </t>
  </si>
  <si>
    <t xml:space="preserve">ШАРЫПОВСКИЙ </t>
  </si>
  <si>
    <t xml:space="preserve">ШУШЕНСКИЙ   </t>
  </si>
  <si>
    <t xml:space="preserve">ИТОГО ПО    </t>
  </si>
  <si>
    <t xml:space="preserve"> 1 ЗОНЕ     </t>
  </si>
  <si>
    <t xml:space="preserve">ОП №1       </t>
  </si>
  <si>
    <t>ЦЕНТРАЛЬН.РН</t>
  </si>
  <si>
    <t xml:space="preserve">ОП №2       </t>
  </si>
  <si>
    <t>ОКТЯБРЬСК.РН</t>
  </si>
  <si>
    <t xml:space="preserve">ОП №3       </t>
  </si>
  <si>
    <t>КИРОВСКИЙ РН</t>
  </si>
  <si>
    <t xml:space="preserve">ОП №4       </t>
  </si>
  <si>
    <t>ЛЕНИНСКИЙ РН</t>
  </si>
  <si>
    <t xml:space="preserve">ОП №5       </t>
  </si>
  <si>
    <t>СОВЕТСКИЙ РН</t>
  </si>
  <si>
    <t xml:space="preserve">ОП №6       </t>
  </si>
  <si>
    <t>СВЕРДЛОВС.РН</t>
  </si>
  <si>
    <t xml:space="preserve">ОП №7       </t>
  </si>
  <si>
    <t>ЖЕЛЕЗНОДОР.Р</t>
  </si>
  <si>
    <t xml:space="preserve">ОП №8       </t>
  </si>
  <si>
    <t xml:space="preserve">ОП №9       </t>
  </si>
  <si>
    <t xml:space="preserve">ОП №10      </t>
  </si>
  <si>
    <t xml:space="preserve">ОП №11      </t>
  </si>
  <si>
    <t xml:space="preserve">ОП №12      </t>
  </si>
  <si>
    <t xml:space="preserve">УВД ПО Г.   </t>
  </si>
  <si>
    <t xml:space="preserve">КРАСНОЯРСКУ </t>
  </si>
  <si>
    <t>Г.КРАСНОЯРСК</t>
  </si>
  <si>
    <t xml:space="preserve">БЕЗ ФСКН    </t>
  </si>
  <si>
    <t>ЗАРЕГИСТРИР.</t>
  </si>
  <si>
    <t xml:space="preserve"> В ФСКН     </t>
  </si>
  <si>
    <t xml:space="preserve">ПО ГОР.     </t>
  </si>
  <si>
    <t xml:space="preserve">ОП №13 Г.   </t>
  </si>
  <si>
    <t xml:space="preserve">ДИВНОГОРСК  </t>
  </si>
  <si>
    <t xml:space="preserve">МУ КРАСН-ОЕ </t>
  </si>
  <si>
    <t xml:space="preserve">БЕЗ (ФСКН)  </t>
  </si>
  <si>
    <t xml:space="preserve">АЧИНСКИЙ    </t>
  </si>
  <si>
    <t xml:space="preserve">БЕРЕЗОВСКИЙ </t>
  </si>
  <si>
    <t>МО МВД ЕМЕЛЬ</t>
  </si>
  <si>
    <t xml:space="preserve">ЯНОВСКИЙ    </t>
  </si>
  <si>
    <t xml:space="preserve">МУ МВД ЗАТО </t>
  </si>
  <si>
    <t xml:space="preserve">НАЗАРОВСКИЙ </t>
  </si>
  <si>
    <t xml:space="preserve"> 2 ЗОНЕ     </t>
  </si>
  <si>
    <t xml:space="preserve">ЕНИСЕЙСКИЙ  </t>
  </si>
  <si>
    <t xml:space="preserve">КАЗАЧИНСКИЙ </t>
  </si>
  <si>
    <t xml:space="preserve">ОМВД ПО Г.  </t>
  </si>
  <si>
    <t xml:space="preserve">ОМВД ПО     </t>
  </si>
  <si>
    <t xml:space="preserve">НОРИЛЬСКУ   </t>
  </si>
  <si>
    <t xml:space="preserve">ТАЙМЫРСКОМУ </t>
  </si>
  <si>
    <t xml:space="preserve"> 3 ЗОНЕ     </t>
  </si>
  <si>
    <t xml:space="preserve">АБАНСКИЙ    </t>
  </si>
  <si>
    <t xml:space="preserve">БОРОДИНСКИЙ </t>
  </si>
  <si>
    <t xml:space="preserve">ИЛАНСКОМУ   </t>
  </si>
  <si>
    <t xml:space="preserve">ИРБЕЙСКИЙ   </t>
  </si>
  <si>
    <t xml:space="preserve">КАНСКИЙ     </t>
  </si>
  <si>
    <t xml:space="preserve">УЯРСКИЙ     </t>
  </si>
  <si>
    <t xml:space="preserve"> 4 ЗОНЕ     </t>
  </si>
  <si>
    <t xml:space="preserve"> ФСКН       </t>
  </si>
  <si>
    <t xml:space="preserve"> ПО КРАЮ    </t>
  </si>
  <si>
    <t xml:space="preserve">ВСЕГО ПО    </t>
  </si>
  <si>
    <t xml:space="preserve">КРАЮ        </t>
  </si>
  <si>
    <t>Умышленные убийства</t>
  </si>
  <si>
    <t xml:space="preserve">Умышленное причинение тяжкого вреда здор.  </t>
  </si>
  <si>
    <t>в т.ч. со смерт.исходом</t>
  </si>
  <si>
    <t>всего зарегистрировано:</t>
  </si>
  <si>
    <t>стр. 1</t>
  </si>
  <si>
    <t>Мошенничество</t>
  </si>
  <si>
    <t>Поджоги</t>
  </si>
  <si>
    <t>Изнасилование</t>
  </si>
  <si>
    <t>Кражи</t>
  </si>
  <si>
    <t>Грабежи</t>
  </si>
  <si>
    <t>Разбои</t>
  </si>
  <si>
    <t>Хулиганство</t>
  </si>
  <si>
    <t>ДТП со смертельным исходом</t>
  </si>
  <si>
    <t>Иные преступления</t>
  </si>
  <si>
    <t>Убийства</t>
  </si>
  <si>
    <t xml:space="preserve">Причинение тяжкого вреда здор.  </t>
  </si>
  <si>
    <t>Преступления, связанные с НОН</t>
  </si>
  <si>
    <t xml:space="preserve">Экономические   </t>
  </si>
  <si>
    <t>Расследовано преступлений</t>
  </si>
  <si>
    <t xml:space="preserve">Всего расследовано преступлений  </t>
  </si>
  <si>
    <t>В группе</t>
  </si>
  <si>
    <t>В состоянии алкогольного опьянения</t>
  </si>
  <si>
    <t xml:space="preserve">Ранее совершавшими преступления  </t>
  </si>
  <si>
    <t xml:space="preserve"> Лицами, не имеющими постоянного источника дохода  </t>
  </si>
  <si>
    <t>Несовершеннолетними</t>
  </si>
  <si>
    <t xml:space="preserve">Удельный вес категорий лиц совершивших преступления от числа расследованных  по данным ИЦ ГУ МВД России по краю
</t>
  </si>
  <si>
    <t>Расследовано преступлений:</t>
  </si>
  <si>
    <t xml:space="preserve">Удельный вес категорий преступлений от числа расследованных  по данным ИЦ ГУ МВД России по краю
</t>
  </si>
  <si>
    <t>Тяжких и особо тяжких</t>
  </si>
  <si>
    <t>Экономических</t>
  </si>
  <si>
    <t>В общественных местах</t>
  </si>
  <si>
    <t>В т.ч. на улицах</t>
  </si>
  <si>
    <t xml:space="preserve">С применением оружия  </t>
  </si>
  <si>
    <t>стр. 2</t>
  </si>
  <si>
    <t>Данные для вычисления процента раскрываемости</t>
  </si>
  <si>
    <t>приостановлено</t>
  </si>
  <si>
    <t xml:space="preserve">Убийств </t>
  </si>
  <si>
    <t>Причинение тяжкого вреда здоровью</t>
  </si>
  <si>
    <t xml:space="preserve">Разбои </t>
  </si>
  <si>
    <t>грабежи</t>
  </si>
  <si>
    <t>раскрываемость преступлений</t>
  </si>
  <si>
    <t>Разбой</t>
  </si>
  <si>
    <t>выбор данных с нужного листа</t>
  </si>
  <si>
    <t xml:space="preserve">Сведения о  раскрываемости преступлений по данным ИЦ ГУ МВД России по краю
</t>
  </si>
  <si>
    <t>Общая раскрываемость</t>
  </si>
  <si>
    <t>стр. 3</t>
  </si>
  <si>
    <t>Тяжкие и особо тяжкие преступления</t>
  </si>
  <si>
    <t>Центральный</t>
  </si>
  <si>
    <t>Октябрьский</t>
  </si>
  <si>
    <t>Кировский</t>
  </si>
  <si>
    <t>Железнодорожный</t>
  </si>
  <si>
    <t>оп № 12</t>
  </si>
  <si>
    <t>оп № 6</t>
  </si>
  <si>
    <t>Свердловский</t>
  </si>
  <si>
    <t>оп № 11</t>
  </si>
  <si>
    <t>оп № 10</t>
  </si>
  <si>
    <t>оп № 9</t>
  </si>
  <si>
    <t>оп № 5</t>
  </si>
  <si>
    <t>Советский</t>
  </si>
  <si>
    <t>оп № 8</t>
  </si>
  <si>
    <t>оп № 4</t>
  </si>
  <si>
    <t>Ленинский</t>
  </si>
  <si>
    <t>прокуратура г.Красноярска</t>
  </si>
  <si>
    <t>Бирилюсский район</t>
  </si>
  <si>
    <t>Иланский район</t>
  </si>
  <si>
    <t>МОМВД</t>
  </si>
  <si>
    <t>ИТОГОПО</t>
  </si>
  <si>
    <t>МОМВДЕМЕЛЬ</t>
  </si>
  <si>
    <t>ЯНОВСКИЙ</t>
  </si>
  <si>
    <t>МУМВДЗАТО</t>
  </si>
  <si>
    <t>НАЗАРОВСКИЙ</t>
  </si>
  <si>
    <t>2ЗОНЕ</t>
  </si>
  <si>
    <t>ЕНИСЕЙСКИЙ</t>
  </si>
  <si>
    <t>КАЗАЧИНСКИЙ</t>
  </si>
  <si>
    <t>ОМВДПОГ.</t>
  </si>
  <si>
    <t>ОМВДПО</t>
  </si>
  <si>
    <t>НОРИЛЬСКУ</t>
  </si>
  <si>
    <t>ТАЙМЫРСКОМУ</t>
  </si>
  <si>
    <t>3ЗОНЕ</t>
  </si>
  <si>
    <t>АБАНСКИЙ</t>
  </si>
  <si>
    <t>БОРОДИНСКИЙ</t>
  </si>
  <si>
    <t>ИЛАНСКОМУ</t>
  </si>
  <si>
    <t>КАНСКИЙ</t>
  </si>
  <si>
    <t>УЯРСКИЙ</t>
  </si>
  <si>
    <t>4ЗОНЕ</t>
  </si>
  <si>
    <t>ПОКРАЮ</t>
  </si>
  <si>
    <t>ВСЕГОПО</t>
  </si>
  <si>
    <t>КРАЮ</t>
  </si>
  <si>
    <t>МОМВДБАЛАХТИНСКИЙ</t>
  </si>
  <si>
    <t>БАЛАХТИНСКИЙР-ОН</t>
  </si>
  <si>
    <t>НОВОСЕЛОВСКИЙР-Н</t>
  </si>
  <si>
    <t>МОМВДКРАСНОТУРАНСКИЙ</t>
  </si>
  <si>
    <t>КРАСНОТУРАНСКИЙР-ОН</t>
  </si>
  <si>
    <t>ИДРИНСКИЙР-Н</t>
  </si>
  <si>
    <t>МОМВДКУРАГИНСКИЙ</t>
  </si>
  <si>
    <t>КУРАГИНСКИЙР-ОН</t>
  </si>
  <si>
    <t>КАРАТУЗСКИЙР-ОН</t>
  </si>
  <si>
    <t>МОМВДМИНУСИНСКИЙ</t>
  </si>
  <si>
    <t>ОМВДУЖУРСКИЙ</t>
  </si>
  <si>
    <t>ОМВДПОЗАТОП.СОЛНЕЧНЫЙ</t>
  </si>
  <si>
    <t>МОМВДШАРЫПОВСКИЙ</t>
  </si>
  <si>
    <t>МОМВДШУШЕНСКИЙ</t>
  </si>
  <si>
    <t>ШУШЕНСКИЙР-Н</t>
  </si>
  <si>
    <t>ЕРМАКОВСКИЙР-ОН</t>
  </si>
  <si>
    <t>ИТОГОПО1ЗОНЕ</t>
  </si>
  <si>
    <t>ОП№1ЦЕНТРАЛЬН.РН</t>
  </si>
  <si>
    <t>ОП№2ОКТЯБРЬСК.РН</t>
  </si>
  <si>
    <t>ОП№3КИРОВСКИЙРН</t>
  </si>
  <si>
    <t>ОП№4ЛЕНИНСКИЙРН</t>
  </si>
  <si>
    <t>ОП№5СОВЕТСКИЙРН</t>
  </si>
  <si>
    <t>ОП№6СВЕРДЛОВС.РН</t>
  </si>
  <si>
    <t>ОП№7ЖЕЛЕЗНОДОР.Р</t>
  </si>
  <si>
    <t>ОП№8ЛЕНИНСКИЙРН</t>
  </si>
  <si>
    <t>ОП№9СОВЕТСКИЙРН</t>
  </si>
  <si>
    <t>ОП№10СОВЕТСКИЙРН</t>
  </si>
  <si>
    <t>ОП№11СОВЕТСКИЙРН</t>
  </si>
  <si>
    <t>ОП№12СВЕРДЛОВС.РН</t>
  </si>
  <si>
    <t>УВДПОГ.КРАСНОЯРСКУ</t>
  </si>
  <si>
    <t>Г.КРАСНОЯРСКБЕЗФСКН</t>
  </si>
  <si>
    <t>ЗАРЕГИСТРИР.ВФСКН</t>
  </si>
  <si>
    <t>ПОГОР.КРАСНОЯРСКУ</t>
  </si>
  <si>
    <t>ОП№13Г.ДИВНОГОРСК</t>
  </si>
  <si>
    <t>МУКРАСН-ОЕБЕЗ(ФСКН)</t>
  </si>
  <si>
    <t>МОМВДАЧИНСКИЙ</t>
  </si>
  <si>
    <t>МОМВДБЕРЕЗОВСКИЙ</t>
  </si>
  <si>
    <t>БЕРЕЗОВССКИЙР-Н</t>
  </si>
  <si>
    <t>СОСНОВОБОРСКИЙ</t>
  </si>
  <si>
    <t>В:БОГОТОЛЬ-</t>
  </si>
  <si>
    <t>:СКИЙР-Н</t>
  </si>
  <si>
    <t>Т.:---------</t>
  </si>
  <si>
    <t>:ТЮХТЕТ-</t>
  </si>
  <si>
    <t>Ч.:СКИЙР-Н</t>
  </si>
  <si>
    <t>Б-УЛУЙСКОЕ</t>
  </si>
  <si>
    <t>В:БИРИЛЮС-</t>
  </si>
  <si>
    <t>:БОЛЬШЕ-</t>
  </si>
  <si>
    <t>Ч.:УЛУЙСКИЙ</t>
  </si>
  <si>
    <t>В:ЕМЕЛЬЯ-</t>
  </si>
  <si>
    <t>:НОВСКИЙ</t>
  </si>
  <si>
    <t>:СУХОБУ-</t>
  </si>
  <si>
    <t>Ч.:ЗИМСКИЙ</t>
  </si>
  <si>
    <t>КОЗУЛЬСКОМУ</t>
  </si>
  <si>
    <t>БОГУЧАНСКОМУ</t>
  </si>
  <si>
    <t>:КАЗАЧИН-</t>
  </si>
  <si>
    <t>В:СКИЙР-Н</t>
  </si>
  <si>
    <t>:---------</t>
  </si>
  <si>
    <t>:ПИРОВСКИЙ</t>
  </si>
  <si>
    <t>Т.:Р-Н</t>
  </si>
  <si>
    <t>Ч.:БОЛЬШЕ-</t>
  </si>
  <si>
    <t>:МУРТИНСК.</t>
  </si>
  <si>
    <t>КЕЖЕМСКОМУ</t>
  </si>
  <si>
    <t>ТУРУХАНСКОМУ</t>
  </si>
  <si>
    <t>ЭВЕНКИЙСКОМУ</t>
  </si>
  <si>
    <t>:АБАНСКИЙ</t>
  </si>
  <si>
    <t>В:Р-Н</t>
  </si>
  <si>
    <t>Т.:ДЗЕРЖИН-</t>
  </si>
  <si>
    <t>Ч.:---------</t>
  </si>
  <si>
    <t>:ТАСЕЕВ-</t>
  </si>
  <si>
    <t>В:БОРОДИН-</t>
  </si>
  <si>
    <t>:РЫБИНСКИЙ</t>
  </si>
  <si>
    <t>Ч.:Р-Н</t>
  </si>
  <si>
    <t>В:ИРБЕЙСКИЙ</t>
  </si>
  <si>
    <t>:Р-Н</t>
  </si>
  <si>
    <t>:САЯНСКИЙ</t>
  </si>
  <si>
    <t>:УЯРСКИЙ</t>
  </si>
  <si>
    <t>Т.:МАНСКИЙ</t>
  </si>
  <si>
    <t>:ПАРТИЗАН-</t>
  </si>
  <si>
    <t>без нарост</t>
  </si>
  <si>
    <t>К диаграмме круговой по преступности</t>
  </si>
  <si>
    <t>Зарегистрировано преступлений без наростающего</t>
  </si>
  <si>
    <t>стр. 5</t>
  </si>
  <si>
    <t>стр. 4</t>
  </si>
  <si>
    <t>стр. 6</t>
  </si>
  <si>
    <t>Умышленное причинение тяжкого вреда здоровью</t>
  </si>
  <si>
    <t>Зарегистрировано преступлений всего:</t>
  </si>
  <si>
    <t>население -</t>
  </si>
  <si>
    <t>тыс. чел</t>
  </si>
  <si>
    <t>загружено данных за месяц:</t>
  </si>
  <si>
    <t>кол-во преступлений на 1 тыс. населения</t>
  </si>
  <si>
    <t>Для совмещенных графиков</t>
  </si>
  <si>
    <t>Кражи пред</t>
  </si>
  <si>
    <t>Кражи текущий</t>
  </si>
  <si>
    <t>наростающий</t>
  </si>
  <si>
    <t>аппг</t>
  </si>
  <si>
    <t xml:space="preserve">схема 2 </t>
  </si>
  <si>
    <t>Всего зарегистрировано преступлений:</t>
  </si>
  <si>
    <t>Зарегистрировано тяжких  и особо тяжких:</t>
  </si>
  <si>
    <t>Всего зарегистрировано преступлений (помесячно):</t>
  </si>
  <si>
    <t>Состав зарегистрированных преступлений против личности</t>
  </si>
  <si>
    <t>рсследовано -</t>
  </si>
  <si>
    <t>(помесячно)</t>
  </si>
  <si>
    <t xml:space="preserve">Зарегистрировано преступления против собственности </t>
  </si>
  <si>
    <t>в т.ч. на улицах</t>
  </si>
  <si>
    <t>доля от зарегистрированных</t>
  </si>
  <si>
    <t>расследовано без наростающего итога</t>
  </si>
  <si>
    <t>тек</t>
  </si>
  <si>
    <t>пред</t>
  </si>
  <si>
    <t>7. Кражи (ст.1"&amp;D1&amp;")</t>
  </si>
  <si>
    <t>эвенкия</t>
  </si>
  <si>
    <t>фскн</t>
  </si>
  <si>
    <t>В :БАЛАХТИН-</t>
  </si>
  <si>
    <t xml:space="preserve">  :СКИЙ Р-Н </t>
  </si>
  <si>
    <t xml:space="preserve">  :НОВОСЕЛОВ</t>
  </si>
  <si>
    <t>Ч.:СКИЙ  Р-Н</t>
  </si>
  <si>
    <t>В :КРАСНОТУ-</t>
  </si>
  <si>
    <t xml:space="preserve">  :РАНСКИЙ  </t>
  </si>
  <si>
    <t xml:space="preserve">  :ИДРИНСКИЙ</t>
  </si>
  <si>
    <t xml:space="preserve">Ч.:Р-Н      </t>
  </si>
  <si>
    <t xml:space="preserve">В :КУРАГИН- </t>
  </si>
  <si>
    <t xml:space="preserve">  :КАРАТУЗС-</t>
  </si>
  <si>
    <t xml:space="preserve">Ч.:КИЙ  Р-Н </t>
  </si>
  <si>
    <t>ОМВД ПО ЗАТО</t>
  </si>
  <si>
    <t xml:space="preserve">П.СОЛНЕЧНЫЙ </t>
  </si>
  <si>
    <t>В :ШУШЕНСКИЙ</t>
  </si>
  <si>
    <t xml:space="preserve">  :Р-Н      </t>
  </si>
  <si>
    <t xml:space="preserve">  :ЕРМАКОВС-</t>
  </si>
  <si>
    <t xml:space="preserve">Ч.:КИЙ Р-Н  </t>
  </si>
  <si>
    <t>В :БЕРЕЗОВС-</t>
  </si>
  <si>
    <t xml:space="preserve">  :КИЙ  Р-Н </t>
  </si>
  <si>
    <t xml:space="preserve">  :СОСНОВО- </t>
  </si>
  <si>
    <t xml:space="preserve">Ч.:БОРСКИЙ  </t>
  </si>
  <si>
    <t>В :БОГОТОЛЬ-</t>
  </si>
  <si>
    <t xml:space="preserve">  :ТЮХТЕТ-  </t>
  </si>
  <si>
    <t xml:space="preserve">Б-УЛУЙСКОЕ  </t>
  </si>
  <si>
    <t xml:space="preserve">В :БИРИЛЮС- </t>
  </si>
  <si>
    <t xml:space="preserve">  :БОЛЬШЕ-  </t>
  </si>
  <si>
    <t xml:space="preserve">Ч.:УЛУЙСКИЙ </t>
  </si>
  <si>
    <t xml:space="preserve">В :ЕМЕЛЬЯ-  </t>
  </si>
  <si>
    <t xml:space="preserve">  :НОВСКИЙ  </t>
  </si>
  <si>
    <t xml:space="preserve">  :СУХОБУ-  </t>
  </si>
  <si>
    <t xml:space="preserve">Ч.:ЗИМСКИЙ  </t>
  </si>
  <si>
    <t xml:space="preserve">КОЗУЛЬСКОМУ </t>
  </si>
  <si>
    <t xml:space="preserve">  :КАЗАЧИН- </t>
  </si>
  <si>
    <t xml:space="preserve">В :СКИЙ Р-Н </t>
  </si>
  <si>
    <t xml:space="preserve">  :---------</t>
  </si>
  <si>
    <t xml:space="preserve">  :ПИРОВСКИЙ</t>
  </si>
  <si>
    <t xml:space="preserve">Т.:Р-Н      </t>
  </si>
  <si>
    <t xml:space="preserve">Ч.:БОЛЬШЕ-  </t>
  </si>
  <si>
    <t xml:space="preserve">  :МУРТИНСК.</t>
  </si>
  <si>
    <t xml:space="preserve">КЕЖЕМСКОМУ  </t>
  </si>
  <si>
    <t xml:space="preserve">  :АБАНСКИЙ </t>
  </si>
  <si>
    <t xml:space="preserve">В :Р-Н      </t>
  </si>
  <si>
    <t xml:space="preserve">Т.:ДЗЕРЖИН- </t>
  </si>
  <si>
    <t xml:space="preserve">  :ТАСЕЕВ-  </t>
  </si>
  <si>
    <t xml:space="preserve">В :БОРОДИН- </t>
  </si>
  <si>
    <t xml:space="preserve">  :РЫБИНСКИЙ</t>
  </si>
  <si>
    <t>В :ИРБЕЙСКИЙ</t>
  </si>
  <si>
    <t xml:space="preserve">  :САЯНСКИЙ </t>
  </si>
  <si>
    <t xml:space="preserve">  :УЯРСКИЙ  </t>
  </si>
  <si>
    <t xml:space="preserve">Т.:МАНСКИЙ  </t>
  </si>
  <si>
    <t xml:space="preserve">  :ПАРТИЗАН-</t>
  </si>
  <si>
    <t>совершено несовершеннолетними</t>
  </si>
  <si>
    <t>уд.вес от расследов.</t>
  </si>
  <si>
    <t>РЕЙТИНГ</t>
  </si>
  <si>
    <t>В состоянии алк.опьянения</t>
  </si>
  <si>
    <t xml:space="preserve">Ранее совершав. прест.  </t>
  </si>
  <si>
    <t xml:space="preserve"> Лицами, не имеющими пост. источника дохода  </t>
  </si>
  <si>
    <t>совершено в общественных местах</t>
  </si>
  <si>
    <t>уд.вес от зарегистрированных</t>
  </si>
  <si>
    <t>С применением огнестрельного оружия</t>
  </si>
  <si>
    <t>код ОВД</t>
  </si>
  <si>
    <t>Среднее за 5 мес</t>
  </si>
  <si>
    <t>Разбои (ст.162)</t>
  </si>
  <si>
    <t xml:space="preserve">Грабежи (ст.161)  </t>
  </si>
  <si>
    <t>Кражи (ст.158)</t>
  </si>
  <si>
    <t xml:space="preserve">Умышленное причинение тяжкого вреда здор. (ст.111) </t>
  </si>
  <si>
    <t>Умышленные убийства с покушением (ст.105)</t>
  </si>
  <si>
    <t xml:space="preserve">В т.ч. тяжких и особо тяжких  </t>
  </si>
  <si>
    <t>% раскрываемости</t>
  </si>
  <si>
    <t xml:space="preserve">Не раскрыто преступлений, дела по которым приостан. по 
п.п.1-3 ст.208 УПК РФ </t>
  </si>
  <si>
    <t>Всего расследовано преступлений</t>
  </si>
  <si>
    <t xml:space="preserve"> о раскрываемости отдельных видов преступлений</t>
  </si>
  <si>
    <t>Т :НОВОСЕЛОВ</t>
  </si>
  <si>
    <t>Ч :СКИЙ  Р-Н</t>
  </si>
  <si>
    <t>Т :ИДРИНСКИЙ</t>
  </si>
  <si>
    <t xml:space="preserve">Ч :Р-Н      </t>
  </si>
  <si>
    <t>Т :КАРАТУЗС-</t>
  </si>
  <si>
    <t xml:space="preserve">Ч :КИЙ  Р-Н </t>
  </si>
  <si>
    <t>Т :ЕРМАКОВС-</t>
  </si>
  <si>
    <t xml:space="preserve">Ч :КИЙ Р-Н  </t>
  </si>
  <si>
    <t xml:space="preserve">Т :СОСНОВО- </t>
  </si>
  <si>
    <t xml:space="preserve">Ч :БОРСКИЙ  </t>
  </si>
  <si>
    <t xml:space="preserve">Т :ТЮХТЕТ-  </t>
  </si>
  <si>
    <t xml:space="preserve">Т :БОЛЬШЕ-  </t>
  </si>
  <si>
    <t xml:space="preserve">Ч :УЛУЙСКИЙ </t>
  </si>
  <si>
    <t xml:space="preserve">Т :СУХОБУ-  </t>
  </si>
  <si>
    <t xml:space="preserve">Ч :ЗИМСКИЙ  </t>
  </si>
  <si>
    <t xml:space="preserve">Т :Р-Н      </t>
  </si>
  <si>
    <t xml:space="preserve">Ч :БОЛЬШЕ-  </t>
  </si>
  <si>
    <t xml:space="preserve">Т :ДЗЕРЖИН- </t>
  </si>
  <si>
    <t xml:space="preserve">Ч :ТАСЕЕВ-  </t>
  </si>
  <si>
    <t>Т :РЫБИНСКИЙ</t>
  </si>
  <si>
    <t xml:space="preserve">Т :САЯНСКИЙ </t>
  </si>
  <si>
    <t xml:space="preserve">Т :МАНСКИЙ  </t>
  </si>
  <si>
    <t>Ч :ПАРТИЗАН-</t>
  </si>
  <si>
    <t xml:space="preserve">            </t>
  </si>
  <si>
    <t xml:space="preserve">15. Всего эконом. прест-ний   </t>
  </si>
  <si>
    <t xml:space="preserve">16. Всего расслед. прест-ний  </t>
  </si>
  <si>
    <t>17. Несовершеннолетними</t>
  </si>
  <si>
    <t xml:space="preserve">     % к стр.16 (уд.вес от расследов.)</t>
  </si>
  <si>
    <t>18. В состоянии алк.опьянения</t>
  </si>
  <si>
    <t xml:space="preserve">19. Ранее совершав. прест.  </t>
  </si>
  <si>
    <t>20. В группе</t>
  </si>
  <si>
    <t>21. В т.ч. организованной</t>
  </si>
  <si>
    <t xml:space="preserve">     % к стр.20  (уд вес  от группы)</t>
  </si>
  <si>
    <t xml:space="preserve">22. Лицами, не имеющими пост. источника дохода  </t>
  </si>
  <si>
    <t>23. В общественных местах</t>
  </si>
  <si>
    <t>24. В т.ч. на улицах</t>
  </si>
  <si>
    <t xml:space="preserve">25. С примен. огнестр. оружия  </t>
  </si>
  <si>
    <t xml:space="preserve">МУ          </t>
  </si>
  <si>
    <t>КРАСНОЯР-КОЕ</t>
  </si>
  <si>
    <t xml:space="preserve">МО-Е МВД    </t>
  </si>
  <si>
    <t xml:space="preserve">О-Е МВД ПО  </t>
  </si>
  <si>
    <t>----------------------------------------------------------------------------------------------------------------------</t>
  </si>
  <si>
    <t>-100.0</t>
  </si>
  <si>
    <t>100.0</t>
  </si>
  <si>
    <t>-----------------------------------------------------------------------------------------------------------------</t>
  </si>
  <si>
    <t>---------------------------------------------------------------------------------------------------------------------</t>
  </si>
  <si>
    <t>--------------------------------------------------------------------------------------------------------------------</t>
  </si>
  <si>
    <t>---------------------------------------------------------------------------------------------</t>
  </si>
  <si>
    <t>56.5</t>
  </si>
  <si>
    <t>50.0</t>
  </si>
  <si>
    <t>77.3</t>
  </si>
  <si>
    <t>8.0</t>
  </si>
  <si>
    <t>85.7</t>
  </si>
  <si>
    <t>55.7</t>
  </si>
  <si>
    <t>-30.4</t>
  </si>
  <si>
    <t>-17.4</t>
  </si>
  <si>
    <t>70.4</t>
  </si>
  <si>
    <t>73.6</t>
  </si>
  <si>
    <t>-23.1</t>
  </si>
  <si>
    <t>66.7</t>
  </si>
  <si>
    <t>-13.3</t>
  </si>
  <si>
    <t>-20.0</t>
  </si>
  <si>
    <t>-18.2</t>
  </si>
  <si>
    <t>52.2</t>
  </si>
  <si>
    <t>-25.0</t>
  </si>
  <si>
    <t>-14.3</t>
  </si>
  <si>
    <t>83.3</t>
  </si>
  <si>
    <t>88.9</t>
  </si>
  <si>
    <t>60.0</t>
  </si>
  <si>
    <t>-33.3</t>
  </si>
  <si>
    <t>-50.0</t>
  </si>
  <si>
    <t>92.9</t>
  </si>
  <si>
    <t>79.3</t>
  </si>
  <si>
    <t>57.9</t>
  </si>
  <si>
    <t>-25.9</t>
  </si>
  <si>
    <t>-30.8</t>
  </si>
  <si>
    <t>81.8</t>
  </si>
  <si>
    <t>5.0</t>
  </si>
  <si>
    <t>68.4</t>
  </si>
  <si>
    <t>68.0</t>
  </si>
  <si>
    <t>25.0</t>
  </si>
  <si>
    <t>-7.7</t>
  </si>
  <si>
    <t>20.0</t>
  </si>
  <si>
    <t>14.0</t>
  </si>
  <si>
    <t>-16.7</t>
  </si>
  <si>
    <t>80.0</t>
  </si>
  <si>
    <t>53.3</t>
  </si>
  <si>
    <t>65.2</t>
  </si>
  <si>
    <t>40.0</t>
  </si>
  <si>
    <t>200.0</t>
  </si>
  <si>
    <t>-38.5</t>
  </si>
  <si>
    <t>-35.0</t>
  </si>
  <si>
    <t>86.7</t>
  </si>
  <si>
    <t>30.0</t>
  </si>
  <si>
    <t>65.0</t>
  </si>
  <si>
    <t>-71.4</t>
  </si>
  <si>
    <t>10.0</t>
  </si>
  <si>
    <t>73.1</t>
  </si>
  <si>
    <t>-40.0</t>
  </si>
  <si>
    <t>34.6</t>
  </si>
  <si>
    <t>-8.7</t>
  </si>
  <si>
    <t>61.9</t>
  </si>
  <si>
    <t>70.3</t>
  </si>
  <si>
    <t>61.4</t>
  </si>
  <si>
    <t>7.0</t>
  </si>
  <si>
    <t>62.5</t>
  </si>
  <si>
    <t>33.3</t>
  </si>
  <si>
    <t>-37.5</t>
  </si>
  <si>
    <t>87.8</t>
  </si>
  <si>
    <t>36.4</t>
  </si>
  <si>
    <t>67.9</t>
  </si>
  <si>
    <t>-19.2</t>
  </si>
  <si>
    <t>87.5</t>
  </si>
  <si>
    <t>-40.9</t>
  </si>
  <si>
    <t>150.0</t>
  </si>
  <si>
    <t>-60.0</t>
  </si>
  <si>
    <t>-36.4</t>
  </si>
  <si>
    <t>58.3</t>
  </si>
  <si>
    <t>44.4</t>
  </si>
  <si>
    <t>55.6</t>
  </si>
  <si>
    <t>-75.0</t>
  </si>
  <si>
    <t>69.2</t>
  </si>
  <si>
    <t>125.0</t>
  </si>
  <si>
    <t>300.0</t>
  </si>
  <si>
    <t>800.0</t>
  </si>
  <si>
    <t>95.7</t>
  </si>
  <si>
    <t>75.0</t>
  </si>
  <si>
    <t>51.4</t>
  </si>
  <si>
    <t>-55.6</t>
  </si>
  <si>
    <t>-28.6</t>
  </si>
  <si>
    <t>-54.5</t>
  </si>
  <si>
    <t>-6.7</t>
  </si>
  <si>
    <t>-42.1</t>
  </si>
  <si>
    <t>45.8</t>
  </si>
  <si>
    <t>37.5</t>
  </si>
  <si>
    <t>-66.7</t>
  </si>
  <si>
    <t>57.1</t>
  </si>
  <si>
    <t>166.7</t>
  </si>
  <si>
    <t>133.3</t>
  </si>
  <si>
    <t>250.0</t>
  </si>
  <si>
    <t>74.1</t>
  </si>
  <si>
    <t>90.0</t>
  </si>
  <si>
    <t>64.7</t>
  </si>
  <si>
    <t>70.0</t>
  </si>
  <si>
    <t>-85.7</t>
  </si>
  <si>
    <t>92.3</t>
  </si>
  <si>
    <t>-44.4</t>
  </si>
  <si>
    <t>500.0</t>
  </si>
  <si>
    <t>400.0</t>
  </si>
  <si>
    <t>-30.0</t>
  </si>
  <si>
    <t>-10.0</t>
  </si>
  <si>
    <t>82.4</t>
  </si>
  <si>
    <t>93.3</t>
  </si>
  <si>
    <t>72.6</t>
  </si>
  <si>
    <t>51.2</t>
  </si>
  <si>
    <t>64.3</t>
  </si>
  <si>
    <t>-7.1</t>
  </si>
  <si>
    <t>0.7</t>
  </si>
  <si>
    <t>85.2</t>
  </si>
  <si>
    <t>-23.8</t>
  </si>
  <si>
    <t>34.8</t>
  </si>
  <si>
    <t>53.8</t>
  </si>
  <si>
    <t>-14.8</t>
  </si>
  <si>
    <t>59.0</t>
  </si>
  <si>
    <t>42.9</t>
  </si>
  <si>
    <t>72.4</t>
  </si>
  <si>
    <t>52.4</t>
  </si>
  <si>
    <t>-9.4</t>
  </si>
  <si>
    <t>80.6</t>
  </si>
  <si>
    <t>91.7</t>
  </si>
  <si>
    <t>-9.3</t>
  </si>
  <si>
    <t>72.2</t>
  </si>
  <si>
    <t>51.9</t>
  </si>
  <si>
    <t>46.7</t>
  </si>
  <si>
    <t>-22.2</t>
  </si>
  <si>
    <t>90.5</t>
  </si>
  <si>
    <t>-10.5</t>
  </si>
  <si>
    <t>-12.5</t>
  </si>
  <si>
    <t>0.4</t>
  </si>
  <si>
    <t>43.6</t>
  </si>
  <si>
    <t>26.0</t>
  </si>
  <si>
    <t>67.4</t>
  </si>
  <si>
    <t>53.7</t>
  </si>
  <si>
    <t>68.2</t>
  </si>
  <si>
    <t>76.5</t>
  </si>
  <si>
    <t>38.1</t>
  </si>
  <si>
    <t>72.7</t>
  </si>
  <si>
    <t>56.8</t>
  </si>
  <si>
    <t>34.7</t>
  </si>
  <si>
    <t>-12.1</t>
  </si>
  <si>
    <t>-10.4</t>
  </si>
  <si>
    <t>74.0</t>
  </si>
  <si>
    <t>-9.8</t>
  </si>
  <si>
    <t>45.5</t>
  </si>
  <si>
    <t>-18.6</t>
  </si>
  <si>
    <t>-20.3</t>
  </si>
  <si>
    <t>87.0</t>
  </si>
  <si>
    <t>44.8</t>
  </si>
  <si>
    <t>65.8</t>
  </si>
  <si>
    <t>70.6</t>
  </si>
  <si>
    <t>62.1</t>
  </si>
  <si>
    <t>55.8</t>
  </si>
  <si>
    <t>50.8</t>
  </si>
  <si>
    <t>-13.0</t>
  </si>
  <si>
    <t>-62.5</t>
  </si>
  <si>
    <t>-61.9</t>
  </si>
  <si>
    <t>84.6</t>
  </si>
  <si>
    <t>46.2</t>
  </si>
  <si>
    <t>-6.5</t>
  </si>
  <si>
    <t>32.6</t>
  </si>
  <si>
    <t>3.0</t>
  </si>
  <si>
    <t>67.2</t>
  </si>
  <si>
    <t>-8.1</t>
  </si>
  <si>
    <t>6.0</t>
  </si>
  <si>
    <t>47.4</t>
  </si>
  <si>
    <t>29.2</t>
  </si>
  <si>
    <t>63.6</t>
  </si>
  <si>
    <t>81.0</t>
  </si>
  <si>
    <t>0.5</t>
  </si>
  <si>
    <t>50.5</t>
  </si>
  <si>
    <t>55.2</t>
  </si>
  <si>
    <t>63.8</t>
  </si>
  <si>
    <t>54.8</t>
  </si>
  <si>
    <t>-38.2</t>
  </si>
  <si>
    <t>-15.7</t>
  </si>
  <si>
    <t>-23.5</t>
  </si>
  <si>
    <t>37.0</t>
  </si>
  <si>
    <t>59.2</t>
  </si>
  <si>
    <t>56.0</t>
  </si>
  <si>
    <t>71.4</t>
  </si>
  <si>
    <t>79.1</t>
  </si>
  <si>
    <t>33.6</t>
  </si>
  <si>
    <t>4.0</t>
  </si>
  <si>
    <t>-8.0</t>
  </si>
  <si>
    <t>-20.6</t>
  </si>
  <si>
    <t>0.6</t>
  </si>
  <si>
    <t>81.5</t>
  </si>
  <si>
    <t>94.4</t>
  </si>
  <si>
    <t>-46.2</t>
  </si>
  <si>
    <t>-83.3</t>
  </si>
  <si>
    <t>-19.5</t>
  </si>
  <si>
    <t>39.2</t>
  </si>
  <si>
    <t>90.9</t>
  </si>
  <si>
    <t>-27.3</t>
  </si>
  <si>
    <t>-41.7</t>
  </si>
  <si>
    <t>-15.4</t>
  </si>
  <si>
    <t>-81.8</t>
  </si>
  <si>
    <t>74.6</t>
  </si>
  <si>
    <t>40.7</t>
  </si>
  <si>
    <t>71.2</t>
  </si>
  <si>
    <t>72.0</t>
  </si>
  <si>
    <t>2.0</t>
  </si>
  <si>
    <t>32.7</t>
  </si>
  <si>
    <t>-12.2</t>
  </si>
  <si>
    <t>-45.5</t>
  </si>
  <si>
    <t>86.4</t>
  </si>
  <si>
    <t>-22.6</t>
  </si>
  <si>
    <t>-27.8</t>
  </si>
  <si>
    <t>36.8</t>
  </si>
  <si>
    <t>73.7</t>
  </si>
  <si>
    <t>81.3</t>
  </si>
  <si>
    <t>81.9</t>
  </si>
  <si>
    <t>68.5</t>
  </si>
  <si>
    <t>83.1</t>
  </si>
  <si>
    <t>1.0</t>
  </si>
  <si>
    <t>-13.1</t>
  </si>
  <si>
    <t>59.4</t>
  </si>
  <si>
    <t>-11.1</t>
  </si>
  <si>
    <t>-8.3</t>
  </si>
  <si>
    <t>-28.8</t>
  </si>
  <si>
    <t>57.4</t>
  </si>
  <si>
    <t>32.3</t>
  </si>
  <si>
    <t>61.5</t>
  </si>
  <si>
    <t>160.0</t>
  </si>
  <si>
    <t>41.7</t>
  </si>
  <si>
    <t>-26.7</t>
  </si>
  <si>
    <t>-3.8</t>
  </si>
  <si>
    <t>42.6</t>
  </si>
  <si>
    <t>0.3</t>
  </si>
  <si>
    <t>38.7</t>
  </si>
  <si>
    <t>54.2</t>
  </si>
  <si>
    <t>-80.0</t>
  </si>
  <si>
    <t>-5.3</t>
  </si>
  <si>
    <t>50.6</t>
  </si>
  <si>
    <t>48.6</t>
  </si>
  <si>
    <t>0.8</t>
  </si>
  <si>
    <t>68.8</t>
  </si>
  <si>
    <t>45.7</t>
  </si>
  <si>
    <t>-15.6</t>
  </si>
  <si>
    <t>38.3</t>
  </si>
  <si>
    <t>-12.3</t>
  </si>
  <si>
    <t>38.9</t>
  </si>
  <si>
    <t>-14.5</t>
  </si>
  <si>
    <t>73.3</t>
  </si>
  <si>
    <t>49.2</t>
  </si>
  <si>
    <t>33.7</t>
  </si>
  <si>
    <t>-42.9</t>
  </si>
  <si>
    <t>50.2</t>
  </si>
  <si>
    <t>41.0</t>
  </si>
  <si>
    <t>350.0</t>
  </si>
  <si>
    <t>34.9</t>
  </si>
  <si>
    <t>51.3</t>
  </si>
  <si>
    <t>59.5</t>
  </si>
  <si>
    <t>-10.2</t>
  </si>
  <si>
    <t>-21.4</t>
  </si>
  <si>
    <t>-31.2</t>
  </si>
  <si>
    <t>-28.0</t>
  </si>
  <si>
    <t>-8.4</t>
  </si>
  <si>
    <t>35.4</t>
  </si>
  <si>
    <t>54.0</t>
  </si>
  <si>
    <t>29.0</t>
  </si>
  <si>
    <t>60.8</t>
  </si>
  <si>
    <t>45.0</t>
  </si>
  <si>
    <t>23.0</t>
  </si>
  <si>
    <t>-18.8</t>
  </si>
  <si>
    <t>-26.3</t>
  </si>
  <si>
    <t>19.0</t>
  </si>
  <si>
    <t>52.8</t>
  </si>
  <si>
    <t>67.5</t>
  </si>
  <si>
    <t>-35.7</t>
  </si>
  <si>
    <t>48.4</t>
  </si>
  <si>
    <t>58.7</t>
  </si>
  <si>
    <t>62.0</t>
  </si>
  <si>
    <t>44.0</t>
  </si>
  <si>
    <t>31.2</t>
  </si>
  <si>
    <t>-6.2</t>
  </si>
  <si>
    <t>36.2</t>
  </si>
  <si>
    <t>-17.7</t>
  </si>
  <si>
    <t>66.1</t>
  </si>
  <si>
    <t>-6.1</t>
  </si>
  <si>
    <t>38.5</t>
  </si>
  <si>
    <t>32.5</t>
  </si>
  <si>
    <t>62.9</t>
  </si>
  <si>
    <t>27.0</t>
  </si>
  <si>
    <t>-4.9</t>
  </si>
  <si>
    <t>53.2</t>
  </si>
  <si>
    <t>54.3</t>
  </si>
  <si>
    <t>63.0</t>
  </si>
  <si>
    <t>48.0</t>
  </si>
  <si>
    <t>60.7</t>
  </si>
  <si>
    <t>31.0</t>
  </si>
  <si>
    <t>15.0</t>
  </si>
  <si>
    <t>35.3</t>
  </si>
  <si>
    <t>-44.1</t>
  </si>
  <si>
    <t>-39.1</t>
  </si>
  <si>
    <t>39.0</t>
  </si>
  <si>
    <t>43.4</t>
  </si>
  <si>
    <t>42.1</t>
  </si>
  <si>
    <t>35.7</t>
  </si>
  <si>
    <t>72.9</t>
  </si>
  <si>
    <t>43.5</t>
  </si>
  <si>
    <t>32.8</t>
  </si>
  <si>
    <t>24.0</t>
  </si>
  <si>
    <t>38.8</t>
  </si>
  <si>
    <t>-46.7</t>
  </si>
  <si>
    <t>39.7</t>
  </si>
  <si>
    <t>46.0</t>
  </si>
  <si>
    <t>52.9</t>
  </si>
  <si>
    <t>-8.8</t>
  </si>
  <si>
    <t>-4.2</t>
  </si>
  <si>
    <t>-31.6</t>
  </si>
  <si>
    <t>41.5</t>
  </si>
  <si>
    <t>34.5</t>
  </si>
  <si>
    <t>-63.2</t>
  </si>
  <si>
    <t>58.8</t>
  </si>
  <si>
    <t>38.6</t>
  </si>
  <si>
    <t>61.2</t>
  </si>
  <si>
    <t>61.1</t>
  </si>
  <si>
    <t>43.8</t>
  </si>
  <si>
    <t>47.2</t>
  </si>
  <si>
    <t>55.3</t>
  </si>
  <si>
    <t>-77.8</t>
  </si>
  <si>
    <t>47.9</t>
  </si>
  <si>
    <t>65.5</t>
  </si>
  <si>
    <t>59.3</t>
  </si>
  <si>
    <t>47.5</t>
  </si>
  <si>
    <t>69.4</t>
  </si>
  <si>
    <t>-27.0</t>
  </si>
  <si>
    <t>82.6</t>
  </si>
  <si>
    <t>68.6</t>
  </si>
  <si>
    <t>-15.8</t>
  </si>
  <si>
    <t>66.3</t>
  </si>
  <si>
    <t>46.9</t>
  </si>
  <si>
    <t>43.1</t>
  </si>
  <si>
    <t>40.3</t>
  </si>
  <si>
    <t>39.3</t>
  </si>
  <si>
    <t>-72.7</t>
  </si>
  <si>
    <t>75.7</t>
  </si>
  <si>
    <t>41.9</t>
  </si>
  <si>
    <t>-20.7</t>
  </si>
  <si>
    <t>-4.0</t>
  </si>
  <si>
    <t>57.5</t>
  </si>
  <si>
    <t>28.0</t>
  </si>
  <si>
    <t>42.3</t>
  </si>
  <si>
    <t>79.7</t>
  </si>
  <si>
    <t>78.1</t>
  </si>
  <si>
    <t>31.4</t>
  </si>
  <si>
    <t>86.2</t>
  </si>
  <si>
    <t>77.8</t>
  </si>
  <si>
    <t>-11.8</t>
  </si>
  <si>
    <t>78.3</t>
  </si>
  <si>
    <t>76.9</t>
  </si>
  <si>
    <t>13.0</t>
  </si>
  <si>
    <t>35.6</t>
  </si>
  <si>
    <t>-47.1</t>
  </si>
  <si>
    <t>-2.1</t>
  </si>
  <si>
    <t>-87.5</t>
  </si>
  <si>
    <t>16.0</t>
  </si>
  <si>
    <t>37.8</t>
  </si>
  <si>
    <t>37.7</t>
  </si>
  <si>
    <t>65.6</t>
  </si>
  <si>
    <t>22.0</t>
  </si>
  <si>
    <t>95.0</t>
  </si>
  <si>
    <t>-17.0</t>
  </si>
  <si>
    <t>-7.0</t>
  </si>
  <si>
    <t>-9.1</t>
  </si>
  <si>
    <t>39.1</t>
  </si>
  <si>
    <t>31.6</t>
  </si>
  <si>
    <t>49.6</t>
  </si>
  <si>
    <t>-27.6</t>
  </si>
  <si>
    <t>53.6</t>
  </si>
  <si>
    <t>89.3</t>
  </si>
  <si>
    <t>600.0</t>
  </si>
  <si>
    <t>35.9</t>
  </si>
  <si>
    <t>-13.8</t>
  </si>
  <si>
    <t>-24.1</t>
  </si>
  <si>
    <t>-21.7</t>
  </si>
  <si>
    <t>36.7</t>
  </si>
  <si>
    <t>-28.1</t>
  </si>
  <si>
    <t>77.4</t>
  </si>
  <si>
    <t>78.6</t>
  </si>
  <si>
    <t>-17.3</t>
  </si>
  <si>
    <t>116.7</t>
  </si>
  <si>
    <t>59.1</t>
  </si>
  <si>
    <t>43.0</t>
  </si>
  <si>
    <t>-3.4</t>
  </si>
  <si>
    <t>-53.8</t>
  </si>
  <si>
    <t>-26.5</t>
  </si>
  <si>
    <t>75.9</t>
  </si>
  <si>
    <t>40.9</t>
  </si>
  <si>
    <t>56.3</t>
  </si>
  <si>
    <t>-61.1</t>
  </si>
  <si>
    <t>-57.1</t>
  </si>
  <si>
    <t>55.0</t>
  </si>
  <si>
    <t>-22.7</t>
  </si>
  <si>
    <t>53.5</t>
  </si>
  <si>
    <t>96.3</t>
  </si>
  <si>
    <t>32.0</t>
  </si>
  <si>
    <t>37.9</t>
  </si>
  <si>
    <t>70.8</t>
  </si>
  <si>
    <t>60.1</t>
  </si>
  <si>
    <t>63.9</t>
  </si>
  <si>
    <t>-47.6</t>
  </si>
  <si>
    <t>57.7</t>
  </si>
  <si>
    <t>82.9</t>
  </si>
  <si>
    <t>-24.3</t>
  </si>
  <si>
    <t>71.9</t>
  </si>
  <si>
    <t>-25.6</t>
  </si>
  <si>
    <t>-69.2</t>
  </si>
  <si>
    <t>54.5</t>
  </si>
  <si>
    <t>-58.3</t>
  </si>
  <si>
    <t>-53.3</t>
  </si>
  <si>
    <t>63.4</t>
  </si>
  <si>
    <t>-20.9</t>
  </si>
  <si>
    <t>-20.5</t>
  </si>
  <si>
    <t>80.9</t>
  </si>
  <si>
    <t>-47.4</t>
  </si>
  <si>
    <t>58.1</t>
  </si>
  <si>
    <t>95.8</t>
  </si>
  <si>
    <t>36.6</t>
  </si>
  <si>
    <t>-24.6</t>
  </si>
  <si>
    <t>-51.7</t>
  </si>
  <si>
    <t>79.2</t>
  </si>
  <si>
    <t>53.4</t>
  </si>
  <si>
    <t>61.3</t>
  </si>
  <si>
    <t>41.4</t>
  </si>
  <si>
    <t>35.0</t>
  </si>
  <si>
    <t>84.2</t>
  </si>
  <si>
    <t>60.9</t>
  </si>
  <si>
    <t>-30.6</t>
  </si>
  <si>
    <t>93.8</t>
  </si>
  <si>
    <t>55.4</t>
  </si>
  <si>
    <t>-9.6</t>
  </si>
  <si>
    <t>63.2</t>
  </si>
  <si>
    <t>82.8</t>
  </si>
  <si>
    <t>-52.9</t>
  </si>
  <si>
    <t>46.8</t>
  </si>
  <si>
    <t>75.6</t>
  </si>
  <si>
    <t>85.1</t>
  </si>
  <si>
    <t>-19.7</t>
  </si>
  <si>
    <t>71.6</t>
  </si>
  <si>
    <t>78.9</t>
  </si>
  <si>
    <t>71.1</t>
  </si>
  <si>
    <t>66.2</t>
  </si>
  <si>
    <t>-23.7</t>
  </si>
  <si>
    <t>34.0</t>
  </si>
  <si>
    <t>52.1</t>
  </si>
  <si>
    <t>70.7</t>
  </si>
  <si>
    <t>63.7</t>
  </si>
  <si>
    <t>86.3</t>
  </si>
  <si>
    <t>76.3</t>
  </si>
  <si>
    <t>42.2</t>
  </si>
  <si>
    <t>КРАСНОЯРСКОЕ</t>
  </si>
  <si>
    <t>-15.0</t>
  </si>
  <si>
    <t>47.1</t>
  </si>
  <si>
    <t>73.0</t>
  </si>
  <si>
    <t>86.8</t>
  </si>
  <si>
    <t>96.8</t>
  </si>
  <si>
    <t>-64.3</t>
  </si>
  <si>
    <t>-2.2</t>
  </si>
  <si>
    <t>81.1</t>
  </si>
  <si>
    <t>56.6</t>
  </si>
  <si>
    <t>58.6</t>
  </si>
  <si>
    <t>12.0</t>
  </si>
  <si>
    <t>-1.1</t>
  </si>
  <si>
    <t>-10.7</t>
  </si>
  <si>
    <t>-2.9</t>
  </si>
  <si>
    <t>36.9</t>
  </si>
  <si>
    <t>-10.9</t>
  </si>
  <si>
    <t>-70.0</t>
  </si>
  <si>
    <t>48.2</t>
  </si>
  <si>
    <t>44.2</t>
  </si>
  <si>
    <t>-5.1</t>
  </si>
  <si>
    <t>64.6</t>
  </si>
  <si>
    <t>45.1</t>
  </si>
  <si>
    <t>96.0</t>
  </si>
  <si>
    <t>-60.9</t>
  </si>
  <si>
    <t>48.5</t>
  </si>
  <si>
    <t>57.3</t>
  </si>
  <si>
    <t>46.4</t>
  </si>
  <si>
    <t>-29.3</t>
  </si>
  <si>
    <t>В:БАЛАХТИН-</t>
  </si>
  <si>
    <t>Т:НОВОСЕЛОВ</t>
  </si>
  <si>
    <t>Ч:СКИЙР-Н</t>
  </si>
  <si>
    <t>В:КРАСНОТУ-</t>
  </si>
  <si>
    <t>:РАНСКИЙ</t>
  </si>
  <si>
    <t>Т:ИДРИНСКИЙ</t>
  </si>
  <si>
    <t>Ч:Р-Н</t>
  </si>
  <si>
    <t>КУРАГИНСКИЙ</t>
  </si>
  <si>
    <t>В:КУРАГИН-</t>
  </si>
  <si>
    <t>Т:КАРАТУЗС-</t>
  </si>
  <si>
    <t>Ч:КИЙР-Н</t>
  </si>
  <si>
    <t>МИНУСИНСКИЙ</t>
  </si>
  <si>
    <t>ОМВД</t>
  </si>
  <si>
    <t>УЖУРСКИЙ</t>
  </si>
  <si>
    <t>ОМВДПОЗАТО</t>
  </si>
  <si>
    <t>П.СОЛНЕЧНЫЙ</t>
  </si>
  <si>
    <t>ШАРЫПОВСКИЙ</t>
  </si>
  <si>
    <t>-14.4</t>
  </si>
  <si>
    <t>ШУШЕНСКИЙ</t>
  </si>
  <si>
    <t>-43.3</t>
  </si>
  <si>
    <t>В:ШУШЕНСКИЙ</t>
  </si>
  <si>
    <t>Т:ЕРМАКОВС-</t>
  </si>
  <si>
    <t>1ЗОНЕ</t>
  </si>
  <si>
    <t>ОП№1</t>
  </si>
  <si>
    <t>ОП№2</t>
  </si>
  <si>
    <t>45.6</t>
  </si>
  <si>
    <t>ОП№3</t>
  </si>
  <si>
    <t>КИРОВСКИЙРН</t>
  </si>
  <si>
    <t>39.6</t>
  </si>
  <si>
    <t>ОП№4</t>
  </si>
  <si>
    <t>ЛЕНИНСКИЙРН</t>
  </si>
  <si>
    <t>ОП№5</t>
  </si>
  <si>
    <t>СОВЕТСКИЙРН</t>
  </si>
  <si>
    <t>-14.6</t>
  </si>
  <si>
    <t>ОП№6</t>
  </si>
  <si>
    <t>42.4</t>
  </si>
  <si>
    <t>ОП№7</t>
  </si>
  <si>
    <t>42.8</t>
  </si>
  <si>
    <t>32.2</t>
  </si>
  <si>
    <t>ОП№8</t>
  </si>
  <si>
    <t>ОП№9</t>
  </si>
  <si>
    <t>ОП№10</t>
  </si>
  <si>
    <t>ОП№11</t>
  </si>
  <si>
    <t>ОП№12</t>
  </si>
  <si>
    <t>УВДПОГ.</t>
  </si>
  <si>
    <t>КРАСНОЯРСКУ</t>
  </si>
  <si>
    <t>ОП№13Г.</t>
  </si>
  <si>
    <t>ДИВНОГОРСК</t>
  </si>
  <si>
    <t>МУ</t>
  </si>
  <si>
    <t>33.0</t>
  </si>
  <si>
    <t>АЧИНСКИЙ</t>
  </si>
  <si>
    <t>БЕРЕЗОВСКИЙ</t>
  </si>
  <si>
    <t>В:БЕРЕЗОВС-</t>
  </si>
  <si>
    <t>:КИЙР-Н</t>
  </si>
  <si>
    <t>Т:СОСНОВО-</t>
  </si>
  <si>
    <t>Ч:БОРСКИЙ</t>
  </si>
  <si>
    <t>78.2</t>
  </si>
  <si>
    <t>Т:ТЮХТЕТ-</t>
  </si>
  <si>
    <t>МО-ЕМВД</t>
  </si>
  <si>
    <t>84.0</t>
  </si>
  <si>
    <t>Т:БОЛЬШЕ-</t>
  </si>
  <si>
    <t>Ч:УЛУЙСКИЙ</t>
  </si>
  <si>
    <t>Т:СУХОБУ-</t>
  </si>
  <si>
    <t>Ч:ЗИМСКИЙ</t>
  </si>
  <si>
    <t>О-ЕМВДПО</t>
  </si>
  <si>
    <t>Т:Р-Н</t>
  </si>
  <si>
    <t>Ч:БОЛЬШЕ-</t>
  </si>
  <si>
    <t>Т:ДЗЕРЖИН-</t>
  </si>
  <si>
    <t>Ч:ТАСЕЕВ-</t>
  </si>
  <si>
    <t>Т:РЫБИНСКИЙ</t>
  </si>
  <si>
    <t>Т:САЯНСКИЙ</t>
  </si>
  <si>
    <t>-45.0</t>
  </si>
  <si>
    <t>-63.0</t>
  </si>
  <si>
    <t>Т:МАНСКИЙ</t>
  </si>
  <si>
    <t>Ч:ПАРТИЗАН-</t>
  </si>
  <si>
    <t>55.9</t>
  </si>
  <si>
    <t>-7.2</t>
  </si>
  <si>
    <t>-42.3</t>
  </si>
  <si>
    <t>120.0</t>
  </si>
  <si>
    <t>-3.0</t>
  </si>
  <si>
    <t>74.7</t>
  </si>
  <si>
    <t>-56.0</t>
  </si>
  <si>
    <t>88.8</t>
  </si>
  <si>
    <t>87.6</t>
  </si>
  <si>
    <t>-90.9</t>
  </si>
  <si>
    <t>91.4</t>
  </si>
  <si>
    <t>95.4</t>
  </si>
  <si>
    <t xml:space="preserve">                 в т.ч.ТиОТ</t>
  </si>
  <si>
    <t>Причинение ТВЗ</t>
  </si>
  <si>
    <t>рассл. закон.</t>
  </si>
  <si>
    <t>выявлено нарушений прокурором</t>
  </si>
  <si>
    <t>выявлено нарушений УПС</t>
  </si>
  <si>
    <t>в состоянии алкогольного опьянения</t>
  </si>
  <si>
    <t>в состоянии наркотического  опьянения</t>
  </si>
  <si>
    <t>лицами ранее совершавшими преступления</t>
  </si>
  <si>
    <t>ИТОГО край</t>
  </si>
  <si>
    <t>Ж-дорожный</t>
  </si>
  <si>
    <t>Абанский</t>
  </si>
  <si>
    <t>Ачинский</t>
  </si>
  <si>
    <t>Балахтинский</t>
  </si>
  <si>
    <t>Березовский</t>
  </si>
  <si>
    <t>Б-Муртинский</t>
  </si>
  <si>
    <t>Боготольский</t>
  </si>
  <si>
    <t>Богучанский</t>
  </si>
  <si>
    <t>Б-Улуйский</t>
  </si>
  <si>
    <t>Дзержинский</t>
  </si>
  <si>
    <t>Емельяновский</t>
  </si>
  <si>
    <t>Енисейский</t>
  </si>
  <si>
    <t>Ермаковский</t>
  </si>
  <si>
    <t>Идра</t>
  </si>
  <si>
    <t>Ирбейский</t>
  </si>
  <si>
    <t>Казачинский</t>
  </si>
  <si>
    <t>Каратуз</t>
  </si>
  <si>
    <t>Кежемский</t>
  </si>
  <si>
    <t>Козульский</t>
  </si>
  <si>
    <t>Краснотуранский</t>
  </si>
  <si>
    <t>Курагинский</t>
  </si>
  <si>
    <t>Манский</t>
  </si>
  <si>
    <t>Мотыгинский</t>
  </si>
  <si>
    <t>Назаровский</t>
  </si>
  <si>
    <t>Н-Ингашский</t>
  </si>
  <si>
    <t>Новоселовский</t>
  </si>
  <si>
    <t>Партизанский</t>
  </si>
  <si>
    <t>Пировский</t>
  </si>
  <si>
    <t>Рыбинский</t>
  </si>
  <si>
    <t>Саянский</t>
  </si>
  <si>
    <t>С-Енисейский</t>
  </si>
  <si>
    <t>Сухобузимский</t>
  </si>
  <si>
    <t xml:space="preserve">Таймырский </t>
  </si>
  <si>
    <t>Тасеевский</t>
  </si>
  <si>
    <t>Туруханский</t>
  </si>
  <si>
    <t>Тюхтетский</t>
  </si>
  <si>
    <t>Ужурский</t>
  </si>
  <si>
    <t>Уярский</t>
  </si>
  <si>
    <t>Шарыповский</t>
  </si>
  <si>
    <t>Шушенский</t>
  </si>
  <si>
    <t xml:space="preserve">Эвенкийский </t>
  </si>
  <si>
    <t>ОМ</t>
  </si>
  <si>
    <t>ОМ 105</t>
  </si>
  <si>
    <t>1175.7</t>
  </si>
  <si>
    <t>162.9</t>
  </si>
  <si>
    <t>156.0</t>
  </si>
  <si>
    <t>186.3</t>
  </si>
  <si>
    <t>73.9</t>
  </si>
  <si>
    <t>56.9</t>
  </si>
  <si>
    <t>-44.8</t>
  </si>
  <si>
    <t>-16.0</t>
  </si>
  <si>
    <t>-38.9</t>
  </si>
  <si>
    <t>69.8</t>
  </si>
  <si>
    <t>80.8</t>
  </si>
  <si>
    <t>-88.9</t>
  </si>
  <si>
    <t>65.4</t>
  </si>
  <si>
    <t>78.8</t>
  </si>
  <si>
    <t>-22.4</t>
  </si>
  <si>
    <t>79.4</t>
  </si>
  <si>
    <t>79.5</t>
  </si>
  <si>
    <t>57.6</t>
  </si>
  <si>
    <t>-11.6</t>
  </si>
  <si>
    <t>-3.1</t>
  </si>
  <si>
    <t>-15.1</t>
  </si>
  <si>
    <t>76.2</t>
  </si>
  <si>
    <t>67.3</t>
  </si>
  <si>
    <t>-5.2</t>
  </si>
  <si>
    <t>183.3</t>
  </si>
  <si>
    <t>78.7</t>
  </si>
  <si>
    <t>-8.5</t>
  </si>
  <si>
    <t>56.2</t>
  </si>
  <si>
    <t>-9.9</t>
  </si>
  <si>
    <t>41.6</t>
  </si>
  <si>
    <t>40.8</t>
  </si>
  <si>
    <t>-7.4</t>
  </si>
  <si>
    <t>-25.5</t>
  </si>
  <si>
    <t>-29.2</t>
  </si>
  <si>
    <t>-15.3</t>
  </si>
  <si>
    <t>52.6</t>
  </si>
  <si>
    <t>39.4</t>
  </si>
  <si>
    <t>-18.7</t>
  </si>
  <si>
    <t>60.4</t>
  </si>
  <si>
    <t>-43.2</t>
  </si>
  <si>
    <t>-24.0</t>
  </si>
  <si>
    <t>49.4</t>
  </si>
  <si>
    <t>-11.9</t>
  </si>
  <si>
    <t>37.3</t>
  </si>
  <si>
    <t>-19.0</t>
  </si>
  <si>
    <t>-15.9</t>
  </si>
  <si>
    <t>59.6</t>
  </si>
  <si>
    <t>31.9</t>
  </si>
  <si>
    <t>-28.5</t>
  </si>
  <si>
    <t>45.2</t>
  </si>
  <si>
    <t>-34.8</t>
  </si>
  <si>
    <t>41.8</t>
  </si>
  <si>
    <t>36.1</t>
  </si>
  <si>
    <t>37.4</t>
  </si>
  <si>
    <t>48.9</t>
  </si>
  <si>
    <t>-2.4</t>
  </si>
  <si>
    <t>34.4</t>
  </si>
  <si>
    <t>-41.5</t>
  </si>
  <si>
    <t>0.9</t>
  </si>
  <si>
    <t>35.5</t>
  </si>
  <si>
    <t>450.0</t>
  </si>
  <si>
    <t>69.0</t>
  </si>
  <si>
    <t>114.3</t>
  </si>
  <si>
    <t>46.6</t>
  </si>
  <si>
    <t>-8.9</t>
  </si>
  <si>
    <t>-17.1</t>
  </si>
  <si>
    <t>-23.3</t>
  </si>
  <si>
    <t>61.0</t>
  </si>
  <si>
    <t>93.5</t>
  </si>
  <si>
    <t>-48.5</t>
  </si>
  <si>
    <t>48.1</t>
  </si>
  <si>
    <t>32.4</t>
  </si>
  <si>
    <t>-22.3</t>
  </si>
  <si>
    <t>-5.8</t>
  </si>
  <si>
    <t>45.9</t>
  </si>
  <si>
    <t>-12.0</t>
  </si>
  <si>
    <t>61.8</t>
  </si>
  <si>
    <t>-31.9</t>
  </si>
  <si>
    <t>77.6</t>
  </si>
  <si>
    <t>91.3</t>
  </si>
  <si>
    <t>47.3</t>
  </si>
  <si>
    <t>40.6</t>
  </si>
  <si>
    <t>-2.6</t>
  </si>
  <si>
    <t>-3.7</t>
  </si>
  <si>
    <t>-4.7</t>
  </si>
  <si>
    <t>-63.6</t>
  </si>
  <si>
    <t>-18.4</t>
  </si>
  <si>
    <t>-96.0</t>
  </si>
  <si>
    <t>-92.9</t>
  </si>
  <si>
    <t>233.3</t>
  </si>
  <si>
    <t>-10.1</t>
  </si>
  <si>
    <t>-2.7</t>
  </si>
  <si>
    <t>59.8</t>
  </si>
  <si>
    <t>51.5</t>
  </si>
  <si>
    <t>69.6</t>
  </si>
  <si>
    <t>64.0</t>
  </si>
  <si>
    <t>77.5</t>
  </si>
  <si>
    <t>-2.8</t>
  </si>
  <si>
    <t>-13.2</t>
  </si>
  <si>
    <t>-17.2</t>
  </si>
  <si>
    <t>-32.1</t>
  </si>
  <si>
    <t>76.1</t>
  </si>
  <si>
    <t>-18.5</t>
  </si>
  <si>
    <t>11.0</t>
  </si>
  <si>
    <t>-39.5</t>
  </si>
  <si>
    <t>-63.9</t>
  </si>
  <si>
    <t>-40.5</t>
  </si>
  <si>
    <t>-1.3</t>
  </si>
  <si>
    <t>-29.6</t>
  </si>
  <si>
    <t>69.3</t>
  </si>
  <si>
    <t>50.4</t>
  </si>
  <si>
    <t>-10.3</t>
  </si>
  <si>
    <t>84.3</t>
  </si>
  <si>
    <t>-2.3</t>
  </si>
  <si>
    <t>-11.3</t>
  </si>
  <si>
    <t>-20.8</t>
  </si>
  <si>
    <t>-0.3</t>
  </si>
  <si>
    <t>-15.2</t>
  </si>
  <si>
    <t>-21.6</t>
  </si>
  <si>
    <t>-12.9</t>
  </si>
  <si>
    <t>48.3</t>
  </si>
  <si>
    <t>83.0</t>
  </si>
  <si>
    <t>-4.4</t>
  </si>
  <si>
    <t>88.5</t>
  </si>
  <si>
    <t>2100.0</t>
  </si>
  <si>
    <t>83.7</t>
  </si>
  <si>
    <t>-21.0</t>
  </si>
  <si>
    <t>-9.0</t>
  </si>
  <si>
    <t>-7.8</t>
  </si>
  <si>
    <t>85.3</t>
  </si>
  <si>
    <t>77.0</t>
  </si>
  <si>
    <t>46.5</t>
  </si>
  <si>
    <t>40.4</t>
  </si>
  <si>
    <t>-48.1</t>
  </si>
  <si>
    <t>-25.2</t>
  </si>
  <si>
    <t>-23.9</t>
  </si>
  <si>
    <t>32.1</t>
  </si>
  <si>
    <t>-16.6</t>
  </si>
  <si>
    <t>-24.4</t>
  </si>
  <si>
    <t>40.2</t>
  </si>
  <si>
    <t>-1.4</t>
  </si>
  <si>
    <t>-23.4</t>
  </si>
  <si>
    <t>34.3</t>
  </si>
  <si>
    <t>-48.3</t>
  </si>
  <si>
    <t>-4.3</t>
  </si>
  <si>
    <t>47.6</t>
  </si>
  <si>
    <t>35.2</t>
  </si>
  <si>
    <t>-39.8</t>
  </si>
  <si>
    <t>-7.5</t>
  </si>
  <si>
    <t>-14.9</t>
  </si>
  <si>
    <t>-1.5</t>
  </si>
  <si>
    <t>87.2</t>
  </si>
  <si>
    <t>64.9</t>
  </si>
  <si>
    <t>76.6</t>
  </si>
  <si>
    <t>37.1</t>
  </si>
  <si>
    <t>68.7</t>
  </si>
  <si>
    <t>43.3</t>
  </si>
  <si>
    <t>84.7</t>
  </si>
  <si>
    <t>-7.9</t>
  </si>
  <si>
    <t>0.1</t>
  </si>
  <si>
    <t>88.0</t>
  </si>
  <si>
    <t>67.1</t>
  </si>
  <si>
    <t>-35.4</t>
  </si>
  <si>
    <t>155.6</t>
  </si>
  <si>
    <t>77.2</t>
  </si>
  <si>
    <t>106.2</t>
  </si>
  <si>
    <t>172.7</t>
  </si>
  <si>
    <t>140.0</t>
  </si>
  <si>
    <t>216.7</t>
  </si>
  <si>
    <t>83.4</t>
  </si>
  <si>
    <t>-52.3</t>
  </si>
  <si>
    <t>-95.5</t>
  </si>
  <si>
    <t>-86.7</t>
  </si>
  <si>
    <t>-47.9</t>
  </si>
  <si>
    <t>АБАНСКОМУ</t>
  </si>
  <si>
    <t>ДЗЕРЖИНСКИЙ</t>
  </si>
  <si>
    <t>-52.7</t>
  </si>
  <si>
    <t>111.1</t>
  </si>
  <si>
    <t>В:ДЗЕРЖИН-</t>
  </si>
  <si>
    <t>Т:ТАСЕЕВ-</t>
  </si>
  <si>
    <t xml:space="preserve">АБАНСКОМУ   </t>
  </si>
  <si>
    <t xml:space="preserve">ДЗЕРЖИНСКИЙ </t>
  </si>
  <si>
    <t xml:space="preserve">В :ДЗЕРЖИН- </t>
  </si>
  <si>
    <t xml:space="preserve">Т :ТАСЕЕВ-  </t>
  </si>
  <si>
    <t xml:space="preserve">Ч :СКИЙ Р-Н </t>
  </si>
  <si>
    <t>-68.3</t>
  </si>
  <si>
    <t>-69.6</t>
  </si>
  <si>
    <t>764.5</t>
  </si>
  <si>
    <t>145.5</t>
  </si>
  <si>
    <t>108.0</t>
  </si>
  <si>
    <t>-61.3</t>
  </si>
  <si>
    <t>-85.4</t>
  </si>
  <si>
    <t>788.4</t>
  </si>
  <si>
    <t>158.3</t>
  </si>
  <si>
    <t>-93.9</t>
  </si>
  <si>
    <t>-88.2</t>
  </si>
  <si>
    <t>383.3</t>
  </si>
  <si>
    <t>-57.3</t>
  </si>
  <si>
    <t>130.8</t>
  </si>
  <si>
    <t>425.0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</si>
</sst>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8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Arial Black"/>
      <family val="2"/>
      <charset val="204"/>
    </font>
    <font>
      <sz val="9"/>
      <name val="Arial"/>
      <family val="2"/>
      <charset val="204"/>
    </font>
    <font>
      <sz val="9"/>
      <name val="Arial Black"/>
      <family val="2"/>
      <charset val="204"/>
    </font>
    <font>
      <sz val="10"/>
      <name val="Times New Roman"/>
      <family val="1"/>
      <charset val="204"/>
    </font>
    <font>
      <b/>
      <sz val="8"/>
      <name val="Arial Black"/>
      <family val="2"/>
      <charset val="204"/>
    </font>
    <font>
      <sz val="8"/>
      <name val="Arial"/>
      <family val="2"/>
      <charset val="204"/>
    </font>
    <font>
      <sz val="8"/>
      <name val="Arial Black"/>
      <family val="2"/>
      <charset val="204"/>
    </font>
    <font>
      <i/>
      <sz val="8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1"/>
      <color rgb="FFFFFF00"/>
      <name val="Calibri"/>
      <family val="2"/>
      <charset val="204"/>
      <scheme val="minor"/>
    </font>
    <font>
      <b/>
      <sz val="20"/>
      <color rgb="FFFFFF00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8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 Cyr"/>
      <family val="2"/>
      <charset val="204"/>
    </font>
    <font>
      <b/>
      <sz val="8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i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Arial Black"/>
      <family val="2"/>
      <charset val="204"/>
    </font>
    <font>
      <b/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4" tint="-0.249977111117893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Arial Black"/>
      <family val="2"/>
      <charset val="204"/>
    </font>
    <font>
      <b/>
      <sz val="10"/>
      <color rgb="FFC00000"/>
      <name val="Arial Black"/>
      <family val="2"/>
      <charset val="204"/>
    </font>
    <font>
      <sz val="10"/>
      <color rgb="FFC00000"/>
      <name val="Arial Black"/>
      <family val="2"/>
      <charset val="204"/>
    </font>
    <font>
      <sz val="10"/>
      <name val="Arial Black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i/>
      <sz val="13"/>
      <name val="Calibri"/>
      <family val="2"/>
      <charset val="204"/>
      <scheme val="minor"/>
    </font>
    <font>
      <b/>
      <sz val="13"/>
      <color theme="3" tint="0.39997558519241921"/>
      <name val="Calibri"/>
      <family val="2"/>
      <charset val="204"/>
      <scheme val="minor"/>
    </font>
    <font>
      <b/>
      <sz val="13"/>
      <color theme="5" tint="-0.249977111117893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Arial"/>
      <family val="2"/>
      <charset val="204"/>
    </font>
    <font>
      <b/>
      <sz val="12"/>
      <name val="Arial Black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11"/>
      <name val="Arial Black"/>
      <family val="2"/>
      <charset val="204"/>
    </font>
    <font>
      <b/>
      <sz val="12"/>
      <color indexed="8"/>
      <name val="Arial"/>
      <family val="2"/>
      <charset val="204"/>
    </font>
    <font>
      <b/>
      <sz val="14"/>
      <name val="Arial Black"/>
      <family val="2"/>
      <charset val="204"/>
    </font>
    <font>
      <b/>
      <sz val="14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0"/>
      <color theme="1"/>
      <name val="Times New Roman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CE29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7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1" fillId="8" borderId="8" applyNumberFormat="0" applyFont="0" applyAlignment="0" applyProtection="0"/>
    <xf numFmtId="0" fontId="37" fillId="0" borderId="0"/>
    <xf numFmtId="0" fontId="85" fillId="0" borderId="0"/>
    <xf numFmtId="0" fontId="83" fillId="0" borderId="0"/>
    <xf numFmtId="0" fontId="1" fillId="0" borderId="0"/>
    <xf numFmtId="0" fontId="37" fillId="0" borderId="0"/>
    <xf numFmtId="0" fontId="85" fillId="0" borderId="0"/>
    <xf numFmtId="0" fontId="37" fillId="0" borderId="0"/>
    <xf numFmtId="0" fontId="85" fillId="0" borderId="0"/>
    <xf numFmtId="0" fontId="1" fillId="0" borderId="0"/>
    <xf numFmtId="0" fontId="83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</cellStyleXfs>
  <cellXfs count="415"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34" borderId="0" xfId="0" applyFill="1" applyAlignment="1">
      <alignment horizontal="center" wrapText="1"/>
    </xf>
    <xf numFmtId="0" fontId="0" fillId="0" borderId="10" xfId="0" applyFill="1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34" borderId="10" xfId="0" applyFill="1" applyBorder="1" applyAlignment="1">
      <alignment horizontal="center" wrapText="1"/>
    </xf>
    <xf numFmtId="0" fontId="0" fillId="33" borderId="10" xfId="0" applyFill="1" applyBorder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3" borderId="10" xfId="0" applyFill="1" applyBorder="1" applyAlignment="1">
      <alignment wrapText="1"/>
    </xf>
    <xf numFmtId="0" fontId="0" fillId="0" borderId="10" xfId="0" applyBorder="1"/>
    <xf numFmtId="49" fontId="0" fillId="0" borderId="10" xfId="0" applyNumberFormat="1" applyBorder="1"/>
    <xf numFmtId="0" fontId="16" fillId="0" borderId="0" xfId="0" applyFont="1"/>
    <xf numFmtId="0" fontId="16" fillId="33" borderId="15" xfId="0" applyFont="1" applyFill="1" applyBorder="1"/>
    <xf numFmtId="0" fontId="16" fillId="33" borderId="16" xfId="0" applyFont="1" applyFill="1" applyBorder="1"/>
    <xf numFmtId="0" fontId="16" fillId="34" borderId="17" xfId="0" applyFont="1" applyFill="1" applyBorder="1"/>
    <xf numFmtId="0" fontId="16" fillId="34" borderId="18" xfId="0" applyFont="1" applyFill="1" applyBorder="1"/>
    <xf numFmtId="0" fontId="0" fillId="0" borderId="19" xfId="0" applyFill="1" applyBorder="1"/>
    <xf numFmtId="0" fontId="0" fillId="0" borderId="19" xfId="0" applyFill="1" applyBorder="1" applyAlignment="1">
      <alignment horizontal="center"/>
    </xf>
    <xf numFmtId="0" fontId="0" fillId="0" borderId="0" xfId="0" applyAlignment="1">
      <alignment horizontal="right"/>
    </xf>
    <xf numFmtId="0" fontId="18" fillId="36" borderId="10" xfId="0" applyFont="1" applyFill="1" applyBorder="1"/>
    <xf numFmtId="0" fontId="20" fillId="37" borderId="10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/>
    <xf numFmtId="0" fontId="22" fillId="0" borderId="10" xfId="0" applyFont="1" applyFill="1" applyBorder="1"/>
    <xf numFmtId="0" fontId="24" fillId="37" borderId="10" xfId="0" applyFont="1" applyFill="1" applyBorder="1" applyAlignment="1" applyProtection="1">
      <alignment horizontal="center" vertical="center"/>
      <protection locked="0"/>
    </xf>
    <xf numFmtId="0" fontId="22" fillId="36" borderId="10" xfId="0" applyFont="1" applyFill="1" applyBorder="1"/>
    <xf numFmtId="0" fontId="22" fillId="0" borderId="10" xfId="0" applyFont="1" applyFill="1" applyBorder="1" applyAlignment="1">
      <alignment wrapText="1"/>
    </xf>
    <xf numFmtId="0" fontId="22" fillId="36" borderId="10" xfId="0" applyFont="1" applyFill="1" applyBorder="1" applyAlignment="1">
      <alignment wrapText="1"/>
    </xf>
    <xf numFmtId="49" fontId="0" fillId="33" borderId="10" xfId="0" applyNumberFormat="1" applyFill="1" applyBorder="1" applyAlignment="1">
      <alignment wrapText="1"/>
    </xf>
    <xf numFmtId="0" fontId="28" fillId="38" borderId="0" xfId="0" applyFont="1" applyFill="1" applyAlignment="1">
      <alignment horizontal="center"/>
    </xf>
    <xf numFmtId="0" fontId="22" fillId="33" borderId="10" xfId="0" applyFont="1" applyFill="1" applyBorder="1" applyAlignment="1">
      <alignment wrapText="1"/>
    </xf>
    <xf numFmtId="0" fontId="20" fillId="33" borderId="10" xfId="0" applyFont="1" applyFill="1" applyBorder="1" applyAlignment="1" applyProtection="1">
      <alignment horizontal="center" vertical="center"/>
      <protection locked="0"/>
    </xf>
    <xf numFmtId="0" fontId="24" fillId="33" borderId="10" xfId="0" applyFont="1" applyFill="1" applyBorder="1" applyAlignment="1" applyProtection="1">
      <alignment horizontal="center" vertical="center"/>
      <protection locked="0"/>
    </xf>
    <xf numFmtId="0" fontId="29" fillId="38" borderId="0" xfId="0" applyFont="1" applyFill="1" applyAlignment="1">
      <alignment horizontal="center" wrapText="1"/>
    </xf>
    <xf numFmtId="0" fontId="22" fillId="39" borderId="10" xfId="0" applyFont="1" applyFill="1" applyBorder="1" applyAlignment="1">
      <alignment wrapText="1"/>
    </xf>
    <xf numFmtId="0" fontId="31" fillId="0" borderId="0" xfId="0" applyFont="1" applyAlignment="1">
      <alignment horizontal="center" wrapText="1"/>
    </xf>
    <xf numFmtId="0" fontId="37" fillId="0" borderId="0" xfId="42"/>
    <xf numFmtId="0" fontId="34" fillId="0" borderId="10" xfId="42" applyFont="1" applyFill="1" applyBorder="1" applyAlignment="1">
      <alignment horizontal="center"/>
    </xf>
    <xf numFmtId="0" fontId="21" fillId="0" borderId="0" xfId="42" applyFont="1" applyFill="1"/>
    <xf numFmtId="0" fontId="21" fillId="0" borderId="0" xfId="42" applyFont="1"/>
    <xf numFmtId="0" fontId="19" fillId="0" borderId="10" xfId="42" applyFont="1" applyFill="1" applyBorder="1" applyAlignment="1">
      <alignment horizontal="center"/>
    </xf>
    <xf numFmtId="0" fontId="32" fillId="0" borderId="10" xfId="42" applyFont="1" applyFill="1" applyBorder="1" applyAlignment="1">
      <alignment horizontal="center"/>
    </xf>
    <xf numFmtId="0" fontId="18" fillId="36" borderId="10" xfId="42" applyFont="1" applyFill="1" applyBorder="1"/>
    <xf numFmtId="0" fontId="22" fillId="0" borderId="10" xfId="42" applyFont="1" applyFill="1" applyBorder="1"/>
    <xf numFmtId="0" fontId="23" fillId="0" borderId="10" xfId="42" applyFont="1" applyFill="1" applyBorder="1" applyAlignment="1" applyProtection="1">
      <alignment horizontal="center" vertical="center"/>
      <protection locked="0"/>
    </xf>
    <xf numFmtId="0" fontId="25" fillId="0" borderId="10" xfId="42" applyFont="1" applyFill="1" applyBorder="1" applyAlignment="1">
      <alignment horizontal="center" vertical="center"/>
    </xf>
    <xf numFmtId="164" fontId="25" fillId="0" borderId="10" xfId="42" applyNumberFormat="1" applyFont="1" applyFill="1" applyBorder="1" applyAlignment="1">
      <alignment horizontal="center" vertical="center"/>
    </xf>
    <xf numFmtId="0" fontId="22" fillId="36" borderId="10" xfId="42" applyFont="1" applyFill="1" applyBorder="1"/>
    <xf numFmtId="164" fontId="23" fillId="36" borderId="10" xfId="42" applyNumberFormat="1" applyFont="1" applyFill="1" applyBorder="1" applyAlignment="1">
      <alignment horizontal="center" vertical="center"/>
    </xf>
    <xf numFmtId="164" fontId="25" fillId="36" borderId="10" xfId="42" applyNumberFormat="1" applyFont="1" applyFill="1" applyBorder="1" applyAlignment="1">
      <alignment horizontal="center" vertical="center"/>
    </xf>
    <xf numFmtId="0" fontId="25" fillId="36" borderId="10" xfId="42" applyFont="1" applyFill="1" applyBorder="1" applyAlignment="1">
      <alignment horizontal="center" vertical="center"/>
    </xf>
    <xf numFmtId="0" fontId="22" fillId="0" borderId="10" xfId="42" applyFont="1" applyFill="1" applyBorder="1" applyAlignment="1">
      <alignment wrapText="1"/>
    </xf>
    <xf numFmtId="0" fontId="22" fillId="36" borderId="10" xfId="42" applyFont="1" applyFill="1" applyBorder="1" applyAlignment="1">
      <alignment wrapText="1"/>
    </xf>
    <xf numFmtId="0" fontId="23" fillId="36" borderId="10" xfId="42" applyFont="1" applyFill="1" applyBorder="1" applyAlignment="1" applyProtection="1">
      <alignment horizontal="center" vertical="center"/>
      <protection locked="0"/>
    </xf>
    <xf numFmtId="164" fontId="23" fillId="0" borderId="10" xfId="42" applyNumberFormat="1" applyFont="1" applyFill="1" applyBorder="1" applyAlignment="1">
      <alignment horizontal="center" vertical="center"/>
    </xf>
    <xf numFmtId="1" fontId="23" fillId="0" borderId="10" xfId="42" applyNumberFormat="1" applyFont="1" applyFill="1" applyBorder="1" applyAlignment="1">
      <alignment horizontal="center" vertical="center"/>
    </xf>
    <xf numFmtId="0" fontId="35" fillId="0" borderId="0" xfId="42" applyFont="1" applyAlignment="1">
      <alignment horizontal="center"/>
    </xf>
    <xf numFmtId="0" fontId="37" fillId="0" borderId="0" xfId="42" applyFill="1"/>
    <xf numFmtId="0" fontId="36" fillId="0" borderId="0" xfId="42" applyFont="1"/>
    <xf numFmtId="0" fontId="35" fillId="0" borderId="0" xfId="42" applyFont="1" applyFill="1"/>
    <xf numFmtId="0" fontId="32" fillId="0" borderId="12" xfId="42" applyFont="1" applyFill="1" applyBorder="1" applyAlignment="1"/>
    <xf numFmtId="0" fontId="37" fillId="0" borderId="12" xfId="42" applyBorder="1" applyAlignment="1"/>
    <xf numFmtId="0" fontId="38" fillId="0" borderId="12" xfId="42" applyFont="1" applyBorder="1" applyAlignment="1"/>
    <xf numFmtId="0" fontId="0" fillId="0" borderId="0" xfId="0" applyFill="1" applyBorder="1"/>
    <xf numFmtId="16" fontId="0" fillId="0" borderId="0" xfId="0" applyNumberFormat="1"/>
    <xf numFmtId="0" fontId="30" fillId="0" borderId="0" xfId="0" applyFont="1"/>
    <xf numFmtId="0" fontId="27" fillId="39" borderId="0" xfId="0" applyFont="1" applyFill="1"/>
    <xf numFmtId="164" fontId="25" fillId="40" borderId="10" xfId="42" applyNumberFormat="1" applyFont="1" applyFill="1" applyBorder="1" applyAlignment="1">
      <alignment horizontal="center" vertical="center"/>
    </xf>
    <xf numFmtId="0" fontId="27" fillId="41" borderId="0" xfId="0" applyFont="1" applyFill="1"/>
    <xf numFmtId="0" fontId="0" fillId="41" borderId="0" xfId="0" applyFill="1"/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NumberForma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right"/>
    </xf>
    <xf numFmtId="165" fontId="39" fillId="0" borderId="0" xfId="0" applyNumberFormat="1" applyFont="1"/>
    <xf numFmtId="0" fontId="41" fillId="0" borderId="0" xfId="0" applyFont="1"/>
    <xf numFmtId="0" fontId="42" fillId="36" borderId="21" xfId="0" applyFont="1" applyFill="1" applyBorder="1" applyAlignment="1">
      <alignment horizontal="right"/>
    </xf>
    <xf numFmtId="0" fontId="42" fillId="36" borderId="10" xfId="0" applyFont="1" applyFill="1" applyBorder="1" applyAlignment="1">
      <alignment horizontal="right"/>
    </xf>
    <xf numFmtId="165" fontId="42" fillId="36" borderId="10" xfId="0" applyNumberFormat="1" applyFont="1" applyFill="1" applyBorder="1" applyAlignment="1">
      <alignment horizontal="right"/>
    </xf>
    <xf numFmtId="0" fontId="43" fillId="0" borderId="0" xfId="0" applyFont="1"/>
    <xf numFmtId="0" fontId="44" fillId="0" borderId="0" xfId="0" applyFont="1"/>
    <xf numFmtId="0" fontId="45" fillId="0" borderId="0" xfId="0" applyFont="1" applyAlignment="1">
      <alignment horizontal="left"/>
    </xf>
    <xf numFmtId="0" fontId="39" fillId="0" borderId="0" xfId="0" applyFont="1" applyAlignment="1">
      <alignment vertical="center" wrapText="1"/>
    </xf>
    <xf numFmtId="0" fontId="46" fillId="0" borderId="0" xfId="0" applyFont="1"/>
    <xf numFmtId="0" fontId="16" fillId="33" borderId="23" xfId="0" applyFont="1" applyFill="1" applyBorder="1" applyAlignment="1">
      <alignment wrapText="1"/>
    </xf>
    <xf numFmtId="0" fontId="0" fillId="33" borderId="24" xfId="0" applyFill="1" applyBorder="1" applyAlignment="1">
      <alignment wrapText="1"/>
    </xf>
    <xf numFmtId="0" fontId="16" fillId="33" borderId="24" xfId="0" applyFont="1" applyFill="1" applyBorder="1" applyAlignment="1">
      <alignment wrapText="1"/>
    </xf>
    <xf numFmtId="0" fontId="0" fillId="33" borderId="25" xfId="0" applyFill="1" applyBorder="1" applyAlignment="1">
      <alignment wrapText="1"/>
    </xf>
    <xf numFmtId="0" fontId="0" fillId="33" borderId="26" xfId="0" applyFill="1" applyBorder="1" applyAlignment="1">
      <alignment horizontal="right" wrapText="1"/>
    </xf>
    <xf numFmtId="0" fontId="0" fillId="33" borderId="0" xfId="0" applyFill="1" applyBorder="1" applyAlignment="1">
      <alignment wrapText="1"/>
    </xf>
    <xf numFmtId="0" fontId="0" fillId="33" borderId="27" xfId="0" applyFill="1" applyBorder="1" applyAlignment="1">
      <alignment wrapText="1"/>
    </xf>
    <xf numFmtId="165" fontId="0" fillId="33" borderId="0" xfId="0" applyNumberFormat="1" applyFill="1" applyBorder="1" applyAlignment="1">
      <alignment wrapText="1"/>
    </xf>
    <xf numFmtId="165" fontId="0" fillId="33" borderId="27" xfId="0" applyNumberFormat="1" applyFill="1" applyBorder="1" applyAlignment="1">
      <alignment wrapText="1"/>
    </xf>
    <xf numFmtId="0" fontId="0" fillId="42" borderId="26" xfId="0" applyFill="1" applyBorder="1" applyAlignment="1">
      <alignment wrapText="1"/>
    </xf>
    <xf numFmtId="0" fontId="0" fillId="42" borderId="0" xfId="0" applyFill="1" applyBorder="1" applyAlignment="1">
      <alignment wrapText="1"/>
    </xf>
    <xf numFmtId="0" fontId="16" fillId="42" borderId="0" xfId="0" applyFont="1" applyFill="1" applyBorder="1" applyAlignment="1">
      <alignment wrapText="1"/>
    </xf>
    <xf numFmtId="0" fontId="0" fillId="42" borderId="27" xfId="0" applyFill="1" applyBorder="1" applyAlignment="1">
      <alignment wrapText="1"/>
    </xf>
    <xf numFmtId="0" fontId="0" fillId="42" borderId="26" xfId="0" applyFill="1" applyBorder="1" applyAlignment="1">
      <alignment horizontal="right" wrapText="1"/>
    </xf>
    <xf numFmtId="0" fontId="0" fillId="42" borderId="28" xfId="0" applyFill="1" applyBorder="1" applyAlignment="1">
      <alignment horizontal="right" wrapText="1"/>
    </xf>
    <xf numFmtId="0" fontId="0" fillId="42" borderId="29" xfId="0" applyFill="1" applyBorder="1" applyAlignment="1">
      <alignment wrapText="1"/>
    </xf>
    <xf numFmtId="165" fontId="0" fillId="42" borderId="29" xfId="0" applyNumberFormat="1" applyFill="1" applyBorder="1" applyAlignment="1">
      <alignment wrapText="1"/>
    </xf>
    <xf numFmtId="165" fontId="0" fillId="42" borderId="30" xfId="0" applyNumberFormat="1" applyFill="1" applyBorder="1" applyAlignment="1">
      <alignment wrapText="1"/>
    </xf>
    <xf numFmtId="165" fontId="0" fillId="42" borderId="0" xfId="0" applyNumberFormat="1" applyFill="1" applyBorder="1" applyAlignment="1">
      <alignment wrapText="1"/>
    </xf>
    <xf numFmtId="165" fontId="0" fillId="42" borderId="27" xfId="0" applyNumberFormat="1" applyFill="1" applyBorder="1" applyAlignment="1">
      <alignment wrapText="1"/>
    </xf>
    <xf numFmtId="0" fontId="22" fillId="33" borderId="23" xfId="0" applyFont="1" applyFill="1" applyBorder="1"/>
    <xf numFmtId="0" fontId="47" fillId="0" borderId="0" xfId="0" applyFont="1"/>
    <xf numFmtId="165" fontId="47" fillId="0" borderId="0" xfId="0" applyNumberFormat="1" applyFont="1"/>
    <xf numFmtId="0" fontId="48" fillId="38" borderId="0" xfId="0" applyFont="1" applyFill="1" applyAlignment="1">
      <alignment horizontal="left"/>
    </xf>
    <xf numFmtId="165" fontId="49" fillId="0" borderId="0" xfId="0" applyNumberFormat="1" applyFont="1" applyFill="1"/>
    <xf numFmtId="165" fontId="49" fillId="0" borderId="0" xfId="0" applyNumberFormat="1" applyFont="1"/>
    <xf numFmtId="0" fontId="39" fillId="0" borderId="0" xfId="0" applyFont="1" applyAlignment="1">
      <alignment vertical="center"/>
    </xf>
    <xf numFmtId="0" fontId="42" fillId="0" borderId="14" xfId="0" applyFont="1" applyFill="1" applyBorder="1"/>
    <xf numFmtId="0" fontId="47" fillId="0" borderId="0" xfId="0" applyFont="1" applyBorder="1"/>
    <xf numFmtId="0" fontId="42" fillId="36" borderId="14" xfId="0" applyFont="1" applyFill="1" applyBorder="1"/>
    <xf numFmtId="165" fontId="47" fillId="0" borderId="0" xfId="0" applyNumberFormat="1" applyFont="1" applyBorder="1"/>
    <xf numFmtId="165" fontId="50" fillId="0" borderId="0" xfId="0" applyNumberFormat="1" applyFont="1" applyBorder="1"/>
    <xf numFmtId="0" fontId="42" fillId="39" borderId="14" xfId="0" applyFont="1" applyFill="1" applyBorder="1" applyAlignment="1"/>
    <xf numFmtId="0" fontId="51" fillId="0" borderId="10" xfId="0" applyFont="1" applyFill="1" applyBorder="1"/>
    <xf numFmtId="0" fontId="42" fillId="39" borderId="14" xfId="0" applyFont="1" applyFill="1" applyBorder="1" applyAlignment="1">
      <alignment wrapText="1"/>
    </xf>
    <xf numFmtId="0" fontId="48" fillId="38" borderId="0" xfId="0" applyFont="1" applyFill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 applyAlignment="1">
      <alignment horizontal="center"/>
    </xf>
    <xf numFmtId="0" fontId="52" fillId="36" borderId="10" xfId="0" applyFont="1" applyFill="1" applyBorder="1"/>
    <xf numFmtId="0" fontId="53" fillId="37" borderId="10" xfId="0" applyFont="1" applyFill="1" applyBorder="1" applyAlignment="1" applyProtection="1">
      <alignment horizontal="center" vertical="center"/>
      <protection locked="0"/>
    </xf>
    <xf numFmtId="0" fontId="50" fillId="0" borderId="0" xfId="0" applyFont="1"/>
    <xf numFmtId="0" fontId="53" fillId="33" borderId="10" xfId="0" applyFont="1" applyFill="1" applyBorder="1" applyAlignment="1" applyProtection="1">
      <alignment horizontal="center" vertical="center"/>
      <protection locked="0"/>
    </xf>
    <xf numFmtId="0" fontId="51" fillId="36" borderId="10" xfId="0" applyFont="1" applyFill="1" applyBorder="1"/>
    <xf numFmtId="0" fontId="47" fillId="0" borderId="0" xfId="0" applyFont="1" applyFill="1" applyBorder="1"/>
    <xf numFmtId="49" fontId="47" fillId="33" borderId="10" xfId="0" applyNumberFormat="1" applyFont="1" applyFill="1" applyBorder="1" applyAlignment="1">
      <alignment wrapText="1"/>
    </xf>
    <xf numFmtId="0" fontId="42" fillId="36" borderId="10" xfId="0" applyFont="1" applyFill="1" applyBorder="1"/>
    <xf numFmtId="0" fontId="54" fillId="37" borderId="10" xfId="0" applyFont="1" applyFill="1" applyBorder="1" applyAlignment="1" applyProtection="1">
      <alignment horizontal="center" vertical="center"/>
      <protection locked="0"/>
    </xf>
    <xf numFmtId="0" fontId="54" fillId="33" borderId="10" xfId="0" applyFont="1" applyFill="1" applyBorder="1" applyAlignment="1" applyProtection="1">
      <alignment horizontal="center" vertical="center"/>
      <protection locked="0"/>
    </xf>
    <xf numFmtId="0" fontId="42" fillId="0" borderId="10" xfId="0" applyFont="1" applyFill="1" applyBorder="1"/>
    <xf numFmtId="0" fontId="42" fillId="33" borderId="10" xfId="0" applyFont="1" applyFill="1" applyBorder="1" applyAlignment="1">
      <alignment wrapText="1"/>
    </xf>
    <xf numFmtId="0" fontId="42" fillId="36" borderId="10" xfId="0" applyFont="1" applyFill="1" applyBorder="1" applyAlignment="1">
      <alignment wrapText="1"/>
    </xf>
    <xf numFmtId="0" fontId="42" fillId="0" borderId="10" xfId="0" applyFont="1" applyFill="1" applyBorder="1" applyAlignment="1">
      <alignment wrapText="1"/>
    </xf>
    <xf numFmtId="0" fontId="42" fillId="39" borderId="10" xfId="0" applyFont="1" applyFill="1" applyBorder="1" applyAlignment="1">
      <alignment wrapText="1"/>
    </xf>
    <xf numFmtId="0" fontId="47" fillId="0" borderId="0" xfId="0" applyFont="1" applyAlignment="1">
      <alignment horizontal="right"/>
    </xf>
    <xf numFmtId="0" fontId="47" fillId="0" borderId="10" xfId="0" applyFont="1" applyBorder="1"/>
    <xf numFmtId="0" fontId="47" fillId="0" borderId="19" xfId="0" applyFont="1" applyFill="1" applyBorder="1"/>
    <xf numFmtId="0" fontId="42" fillId="33" borderId="21" xfId="0" applyFont="1" applyFill="1" applyBorder="1" applyAlignment="1">
      <alignment horizontal="right"/>
    </xf>
    <xf numFmtId="0" fontId="42" fillId="0" borderId="21" xfId="0" applyFont="1" applyFill="1" applyBorder="1" applyAlignment="1">
      <alignment horizontal="right"/>
    </xf>
    <xf numFmtId="0" fontId="55" fillId="0" borderId="0" xfId="0" applyFont="1"/>
    <xf numFmtId="0" fontId="55" fillId="0" borderId="0" xfId="0" applyFont="1" applyAlignment="1"/>
    <xf numFmtId="0" fontId="56" fillId="0" borderId="0" xfId="0" applyFont="1"/>
    <xf numFmtId="0" fontId="56" fillId="0" borderId="0" xfId="0" applyFont="1" applyAlignment="1">
      <alignment vertical="center"/>
    </xf>
    <xf numFmtId="0" fontId="39" fillId="0" borderId="0" xfId="0" applyFont="1"/>
    <xf numFmtId="0" fontId="21" fillId="33" borderId="0" xfId="0" applyFont="1" applyFill="1"/>
    <xf numFmtId="165" fontId="57" fillId="0" borderId="0" xfId="0" applyNumberFormat="1" applyFont="1"/>
    <xf numFmtId="0" fontId="39" fillId="0" borderId="0" xfId="0" applyFont="1" applyAlignment="1">
      <alignment horizontal="right" vertical="center"/>
    </xf>
    <xf numFmtId="0" fontId="49" fillId="0" borderId="0" xfId="0" applyNumberFormat="1" applyFont="1" applyFill="1"/>
    <xf numFmtId="0" fontId="47" fillId="0" borderId="0" xfId="0" applyNumberFormat="1" applyFont="1" applyBorder="1"/>
    <xf numFmtId="0" fontId="58" fillId="0" borderId="0" xfId="0" applyFont="1"/>
    <xf numFmtId="0" fontId="0" fillId="33" borderId="10" xfId="0" applyFill="1" applyBorder="1" applyAlignment="1">
      <alignment horizontal="center" wrapText="1"/>
    </xf>
    <xf numFmtId="0" fontId="0" fillId="34" borderId="10" xfId="0" applyFill="1" applyBorder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5" borderId="0" xfId="0" applyFill="1"/>
    <xf numFmtId="0" fontId="59" fillId="38" borderId="0" xfId="0" applyFont="1" applyFill="1" applyAlignment="1">
      <alignment horizontal="left"/>
    </xf>
    <xf numFmtId="0" fontId="21" fillId="0" borderId="10" xfId="0" applyFont="1" applyFill="1" applyBorder="1"/>
    <xf numFmtId="0" fontId="21" fillId="37" borderId="10" xfId="0" applyFont="1" applyFill="1" applyBorder="1" applyAlignment="1" applyProtection="1">
      <alignment horizontal="center" vertical="center"/>
      <protection locked="0"/>
    </xf>
    <xf numFmtId="0" fontId="60" fillId="0" borderId="0" xfId="0" applyFont="1" applyAlignment="1"/>
    <xf numFmtId="0" fontId="39" fillId="0" borderId="0" xfId="0" applyFont="1" applyAlignment="1"/>
    <xf numFmtId="10" fontId="39" fillId="0" borderId="0" xfId="0" applyNumberFormat="1" applyFont="1" applyAlignment="1"/>
    <xf numFmtId="0" fontId="61" fillId="0" borderId="0" xfId="0" applyFont="1" applyAlignment="1">
      <alignment horizontal="right"/>
    </xf>
    <xf numFmtId="0" fontId="62" fillId="0" borderId="0" xfId="0" applyFont="1"/>
    <xf numFmtId="0" fontId="56" fillId="0" borderId="0" xfId="0" applyFont="1" applyAlignment="1">
      <alignment horizontal="right"/>
    </xf>
    <xf numFmtId="0" fontId="56" fillId="0" borderId="0" xfId="0" applyFont="1" applyAlignment="1"/>
    <xf numFmtId="0" fontId="0" fillId="0" borderId="0" xfId="0" applyFont="1" applyAlignment="1">
      <alignment horizontal="right"/>
    </xf>
    <xf numFmtId="0" fontId="39" fillId="0" borderId="0" xfId="0" applyNumberFormat="1" applyFont="1" applyAlignment="1">
      <alignment horizontal="center"/>
    </xf>
    <xf numFmtId="10" fontId="39" fillId="0" borderId="0" xfId="0" applyNumberFormat="1" applyFont="1"/>
    <xf numFmtId="3" fontId="56" fillId="0" borderId="0" xfId="0" applyNumberFormat="1" applyFont="1" applyAlignment="1"/>
    <xf numFmtId="0" fontId="63" fillId="0" borderId="0" xfId="0" applyFont="1" applyAlignment="1">
      <alignment horizontal="right"/>
    </xf>
    <xf numFmtId="2" fontId="64" fillId="0" borderId="0" xfId="0" applyNumberFormat="1" applyFont="1" applyAlignment="1">
      <alignment horizontal="left"/>
    </xf>
    <xf numFmtId="0" fontId="21" fillId="0" borderId="32" xfId="0" applyFont="1" applyFill="1" applyBorder="1"/>
    <xf numFmtId="0" fontId="0" fillId="0" borderId="0" xfId="0" applyAlignment="1">
      <alignment horizontal="center"/>
    </xf>
    <xf numFmtId="0" fontId="0" fillId="0" borderId="21" xfId="0" applyBorder="1"/>
    <xf numFmtId="0" fontId="65" fillId="0" borderId="10" xfId="0" applyFont="1" applyBorder="1" applyAlignment="1">
      <alignment horizontal="center"/>
    </xf>
    <xf numFmtId="0" fontId="66" fillId="0" borderId="0" xfId="0" applyFont="1"/>
    <xf numFmtId="0" fontId="67" fillId="0" borderId="0" xfId="0" applyFont="1"/>
    <xf numFmtId="165" fontId="68" fillId="0" borderId="0" xfId="0" applyNumberFormat="1" applyFont="1"/>
    <xf numFmtId="0" fontId="69" fillId="0" borderId="0" xfId="0" applyFont="1"/>
    <xf numFmtId="0" fontId="70" fillId="0" borderId="0" xfId="0" applyFont="1"/>
    <xf numFmtId="0" fontId="71" fillId="0" borderId="0" xfId="0" applyFont="1" applyAlignment="1">
      <alignment horizontal="left"/>
    </xf>
    <xf numFmtId="0" fontId="48" fillId="0" borderId="0" xfId="0" applyFont="1"/>
    <xf numFmtId="0" fontId="39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72" fillId="0" borderId="0" xfId="0" applyFont="1"/>
    <xf numFmtId="0" fontId="44" fillId="0" borderId="0" xfId="0" applyFont="1" applyAlignment="1">
      <alignment horizontal="left"/>
    </xf>
    <xf numFmtId="0" fontId="73" fillId="0" borderId="0" xfId="0" applyFont="1"/>
    <xf numFmtId="10" fontId="47" fillId="0" borderId="0" xfId="0" applyNumberFormat="1" applyFont="1"/>
    <xf numFmtId="165" fontId="49" fillId="38" borderId="0" xfId="0" applyNumberFormat="1" applyFont="1" applyFill="1" applyAlignment="1"/>
    <xf numFmtId="0" fontId="0" fillId="0" borderId="10" xfId="0" applyFill="1" applyBorder="1" applyAlignment="1">
      <alignment horizontal="center" vertical="center" wrapText="1"/>
    </xf>
    <xf numFmtId="0" fontId="0" fillId="0" borderId="10" xfId="0" quotePrefix="1" applyFill="1" applyBorder="1"/>
    <xf numFmtId="2" fontId="0" fillId="0" borderId="10" xfId="0" applyNumberFormat="1" applyBorder="1" applyAlignment="1">
      <alignment horizontal="center"/>
    </xf>
    <xf numFmtId="2" fontId="0" fillId="0" borderId="10" xfId="0" applyNumberFormat="1" applyBorder="1"/>
    <xf numFmtId="0" fontId="58" fillId="0" borderId="10" xfId="0" applyFont="1" applyBorder="1" applyAlignment="1">
      <alignment horizontal="center" vertical="center" textRotation="90" wrapText="1"/>
    </xf>
    <xf numFmtId="0" fontId="58" fillId="33" borderId="10" xfId="0" applyFont="1" applyFill="1" applyBorder="1" applyAlignment="1">
      <alignment horizontal="center" vertical="center" textRotation="90" wrapText="1"/>
    </xf>
    <xf numFmtId="0" fontId="58" fillId="0" borderId="10" xfId="0" applyFont="1" applyFill="1" applyBorder="1" applyAlignment="1">
      <alignment horizontal="center" vertical="center" textRotation="90" wrapText="1"/>
    </xf>
    <xf numFmtId="0" fontId="0" fillId="0" borderId="14" xfId="0" applyBorder="1" applyAlignment="1">
      <alignment horizontal="center" vertical="center" textRotation="90"/>
    </xf>
    <xf numFmtId="0" fontId="0" fillId="0" borderId="14" xfId="0" applyBorder="1" applyAlignment="1">
      <alignment horizontal="center"/>
    </xf>
    <xf numFmtId="0" fontId="58" fillId="0" borderId="21" xfId="0" applyFont="1" applyBorder="1" applyAlignment="1">
      <alignment horizontal="center" vertical="center" textRotation="90" wrapText="1"/>
    </xf>
    <xf numFmtId="0" fontId="58" fillId="0" borderId="15" xfId="0" applyFont="1" applyBorder="1" applyAlignment="1">
      <alignment horizontal="center" vertical="center" textRotation="90" wrapText="1"/>
    </xf>
    <xf numFmtId="0" fontId="58" fillId="0" borderId="16" xfId="0" applyFont="1" applyBorder="1" applyAlignment="1">
      <alignment horizontal="center" vertical="center" textRotation="90" wrapText="1"/>
    </xf>
    <xf numFmtId="0" fontId="58" fillId="0" borderId="33" xfId="0" applyFont="1" applyBorder="1" applyAlignment="1">
      <alignment horizontal="center" vertical="center" textRotation="90" wrapText="1"/>
    </xf>
    <xf numFmtId="0" fontId="35" fillId="0" borderId="0" xfId="42" applyFont="1" applyFill="1" applyAlignment="1">
      <alignment horizontal="center"/>
    </xf>
    <xf numFmtId="0" fontId="36" fillId="0" borderId="0" xfId="42" applyFont="1" applyFill="1"/>
    <xf numFmtId="164" fontId="74" fillId="0" borderId="10" xfId="42" applyNumberFormat="1" applyFont="1" applyFill="1" applyBorder="1" applyAlignment="1" applyProtection="1">
      <alignment horizontal="center" vertical="center"/>
    </xf>
    <xf numFmtId="164" fontId="75" fillId="43" borderId="10" xfId="42" applyNumberFormat="1" applyFont="1" applyFill="1" applyBorder="1" applyAlignment="1" applyProtection="1">
      <alignment horizontal="center" vertical="center"/>
      <protection locked="0"/>
    </xf>
    <xf numFmtId="164" fontId="76" fillId="0" borderId="10" xfId="42" applyNumberFormat="1" applyFont="1" applyFill="1" applyBorder="1" applyAlignment="1" applyProtection="1">
      <alignment horizontal="center" vertical="center"/>
      <protection locked="0"/>
    </xf>
    <xf numFmtId="164" fontId="77" fillId="0" borderId="10" xfId="42" applyNumberFormat="1" applyFont="1" applyFill="1" applyBorder="1" applyAlignment="1" applyProtection="1">
      <alignment horizontal="center" vertical="center"/>
    </xf>
    <xf numFmtId="0" fontId="77" fillId="0" borderId="10" xfId="42" applyFont="1" applyFill="1" applyBorder="1" applyAlignment="1" applyProtection="1">
      <alignment horizontal="center" vertical="center"/>
    </xf>
    <xf numFmtId="0" fontId="78" fillId="43" borderId="10" xfId="42" applyFont="1" applyFill="1" applyBorder="1" applyAlignment="1" applyProtection="1">
      <alignment horizontal="center" vertical="center"/>
      <protection locked="0"/>
    </xf>
    <xf numFmtId="0" fontId="77" fillId="0" borderId="10" xfId="42" applyFont="1" applyFill="1" applyBorder="1" applyAlignment="1" applyProtection="1">
      <alignment horizontal="center" vertical="center"/>
      <protection locked="0"/>
    </xf>
    <xf numFmtId="0" fontId="42" fillId="0" borderId="10" xfId="42" applyFont="1" applyFill="1" applyBorder="1" applyAlignment="1" applyProtection="1">
      <alignment wrapText="1"/>
    </xf>
    <xf numFmtId="164" fontId="74" fillId="36" borderId="10" xfId="42" applyNumberFormat="1" applyFont="1" applyFill="1" applyBorder="1" applyAlignment="1" applyProtection="1">
      <alignment horizontal="center" vertical="center"/>
    </xf>
    <xf numFmtId="164" fontId="76" fillId="36" borderId="10" xfId="42" applyNumberFormat="1" applyFont="1" applyFill="1" applyBorder="1" applyAlignment="1" applyProtection="1">
      <alignment horizontal="center" vertical="center"/>
      <protection locked="0"/>
    </xf>
    <xf numFmtId="164" fontId="77" fillId="36" borderId="10" xfId="42" applyNumberFormat="1" applyFont="1" applyFill="1" applyBorder="1" applyAlignment="1" applyProtection="1">
      <alignment horizontal="center" vertical="center"/>
    </xf>
    <xf numFmtId="0" fontId="77" fillId="36" borderId="10" xfId="42" applyFont="1" applyFill="1" applyBorder="1" applyAlignment="1" applyProtection="1">
      <alignment horizontal="center" vertical="center"/>
    </xf>
    <xf numFmtId="0" fontId="42" fillId="36" borderId="10" xfId="42" applyFont="1" applyFill="1" applyBorder="1" applyProtection="1"/>
    <xf numFmtId="0" fontId="42" fillId="0" borderId="10" xfId="42" applyFont="1" applyFill="1" applyBorder="1" applyProtection="1"/>
    <xf numFmtId="0" fontId="42" fillId="36" borderId="19" xfId="42" applyFont="1" applyFill="1" applyBorder="1" applyAlignment="1" applyProtection="1">
      <alignment wrapText="1"/>
    </xf>
    <xf numFmtId="164" fontId="79" fillId="36" borderId="10" xfId="42" applyNumberFormat="1" applyFont="1" applyFill="1" applyBorder="1" applyAlignment="1" applyProtection="1">
      <alignment horizontal="center" vertical="center"/>
    </xf>
    <xf numFmtId="164" fontId="76" fillId="36" borderId="10" xfId="42" applyNumberFormat="1" applyFont="1" applyFill="1" applyBorder="1" applyAlignment="1" applyProtection="1">
      <alignment horizontal="center" vertical="center"/>
    </xf>
    <xf numFmtId="0" fontId="76" fillId="36" borderId="10" xfId="42" applyFont="1" applyFill="1" applyBorder="1" applyAlignment="1" applyProtection="1">
      <alignment horizontal="center" vertical="center"/>
    </xf>
    <xf numFmtId="0" fontId="75" fillId="43" borderId="21" xfId="42" applyFont="1" applyFill="1" applyBorder="1" applyAlignment="1" applyProtection="1">
      <alignment horizontal="center" vertical="center"/>
      <protection locked="0"/>
    </xf>
    <xf numFmtId="0" fontId="76" fillId="36" borderId="21" xfId="42" applyFont="1" applyFill="1" applyBorder="1" applyAlignment="1" applyProtection="1">
      <alignment horizontal="center" vertical="center"/>
      <protection locked="0"/>
    </xf>
    <xf numFmtId="0" fontId="80" fillId="36" borderId="10" xfId="42" applyFont="1" applyFill="1" applyBorder="1" applyProtection="1"/>
    <xf numFmtId="0" fontId="81" fillId="0" borderId="10" xfId="42" quotePrefix="1" applyFont="1" applyFill="1" applyBorder="1" applyAlignment="1" applyProtection="1">
      <alignment horizontal="center"/>
    </xf>
    <xf numFmtId="0" fontId="81" fillId="43" borderId="10" xfId="42" applyFont="1" applyFill="1" applyBorder="1" applyAlignment="1" applyProtection="1">
      <alignment horizontal="center"/>
      <protection locked="0"/>
    </xf>
    <xf numFmtId="0" fontId="81" fillId="0" borderId="10" xfId="42" applyFont="1" applyFill="1" applyBorder="1" applyAlignment="1" applyProtection="1">
      <alignment horizontal="center"/>
      <protection locked="0"/>
    </xf>
    <xf numFmtId="0" fontId="81" fillId="0" borderId="10" xfId="42" applyFont="1" applyFill="1" applyBorder="1" applyAlignment="1" applyProtection="1">
      <alignment horizontal="center"/>
    </xf>
    <xf numFmtId="0" fontId="34" fillId="0" borderId="19" xfId="42" applyFont="1" applyFill="1" applyBorder="1" applyAlignment="1" applyProtection="1">
      <alignment horizontal="center"/>
    </xf>
    <xf numFmtId="0" fontId="34" fillId="0" borderId="20" xfId="42" applyFont="1" applyFill="1" applyBorder="1" applyAlignment="1" applyProtection="1">
      <alignment horizontal="center"/>
    </xf>
    <xf numFmtId="0" fontId="22" fillId="40" borderId="10" xfId="42" applyFont="1" applyFill="1" applyBorder="1"/>
    <xf numFmtId="0" fontId="23" fillId="40" borderId="10" xfId="42" applyFont="1" applyFill="1" applyBorder="1" applyAlignment="1" applyProtection="1">
      <alignment horizontal="center" vertical="center"/>
      <protection locked="0"/>
    </xf>
    <xf numFmtId="0" fontId="25" fillId="40" borderId="10" xfId="42" applyFont="1" applyFill="1" applyBorder="1" applyAlignment="1">
      <alignment horizontal="center" vertical="center"/>
    </xf>
    <xf numFmtId="0" fontId="21" fillId="40" borderId="0" xfId="42" applyFont="1" applyFill="1"/>
    <xf numFmtId="164" fontId="23" fillId="40" borderId="10" xfId="42" applyNumberFormat="1" applyFont="1" applyFill="1" applyBorder="1" applyAlignment="1">
      <alignment horizontal="center" vertical="center"/>
    </xf>
    <xf numFmtId="0" fontId="25" fillId="40" borderId="10" xfId="42" applyNumberFormat="1" applyFont="1" applyFill="1" applyBorder="1" applyAlignment="1">
      <alignment horizontal="center" vertical="center"/>
    </xf>
    <xf numFmtId="1" fontId="23" fillId="40" borderId="10" xfId="42" applyNumberFormat="1" applyFont="1" applyFill="1" applyBorder="1" applyAlignment="1">
      <alignment horizontal="center" vertical="center"/>
    </xf>
    <xf numFmtId="0" fontId="22" fillId="40" borderId="10" xfId="42" applyFont="1" applyFill="1" applyBorder="1" applyAlignment="1">
      <alignment wrapText="1"/>
    </xf>
    <xf numFmtId="0" fontId="26" fillId="40" borderId="10" xfId="42" applyFont="1" applyFill="1" applyBorder="1" applyAlignment="1">
      <alignment horizontal="center" vertical="center"/>
    </xf>
    <xf numFmtId="164" fontId="26" fillId="40" borderId="10" xfId="42" applyNumberFormat="1" applyFont="1" applyFill="1" applyBorder="1" applyAlignment="1">
      <alignment horizontal="center" vertical="center"/>
    </xf>
    <xf numFmtId="0" fontId="32" fillId="44" borderId="10" xfId="42" applyFont="1" applyFill="1" applyBorder="1" applyAlignment="1">
      <alignment horizontal="center"/>
    </xf>
    <xf numFmtId="0" fontId="24" fillId="44" borderId="10" xfId="42" applyFont="1" applyFill="1" applyBorder="1" applyAlignment="1" applyProtection="1">
      <alignment horizontal="center" vertical="center"/>
      <protection locked="0"/>
    </xf>
    <xf numFmtId="164" fontId="24" fillId="44" borderId="10" xfId="42" applyNumberFormat="1" applyFont="1" applyFill="1" applyBorder="1" applyAlignment="1">
      <alignment horizontal="center" vertical="center"/>
    </xf>
    <xf numFmtId="0" fontId="0" fillId="35" borderId="10" xfId="0" applyFill="1" applyBorder="1" applyAlignment="1">
      <alignment horizontal="center" vertical="center" wrapText="1"/>
    </xf>
    <xf numFmtId="0" fontId="0" fillId="35" borderId="31" xfId="0" applyFill="1" applyBorder="1" applyAlignment="1">
      <alignment vertical="center" wrapText="1"/>
    </xf>
    <xf numFmtId="0" fontId="0" fillId="35" borderId="13" xfId="0" applyFill="1" applyBorder="1" applyAlignment="1">
      <alignment vertical="center" wrapText="1"/>
    </xf>
    <xf numFmtId="0" fontId="0" fillId="35" borderId="14" xfId="0" applyFill="1" applyBorder="1" applyAlignment="1">
      <alignment vertical="center" wrapText="1"/>
    </xf>
    <xf numFmtId="0" fontId="0" fillId="35" borderId="20" xfId="0" applyFill="1" applyBorder="1" applyAlignment="1">
      <alignment vertical="center" textRotation="90" wrapText="1"/>
    </xf>
    <xf numFmtId="0" fontId="0" fillId="35" borderId="19" xfId="0" applyFill="1" applyBorder="1" applyAlignment="1">
      <alignment vertical="center" textRotation="90" wrapText="1"/>
    </xf>
    <xf numFmtId="0" fontId="0" fillId="35" borderId="22" xfId="0" applyFill="1" applyBorder="1" applyAlignment="1">
      <alignment vertical="center" textRotation="90" wrapText="1"/>
    </xf>
    <xf numFmtId="0" fontId="0" fillId="35" borderId="35" xfId="0" applyFill="1" applyBorder="1" applyAlignment="1"/>
    <xf numFmtId="0" fontId="0" fillId="35" borderId="12" xfId="0" applyFill="1" applyBorder="1" applyAlignment="1"/>
    <xf numFmtId="0" fontId="0" fillId="39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34" borderId="10" xfId="0" applyFill="1" applyBorder="1" applyAlignment="1">
      <alignment horizontal="center" wrapText="1"/>
    </xf>
    <xf numFmtId="0" fontId="0" fillId="33" borderId="10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0" borderId="0" xfId="0" applyFont="1" applyAlignment="1">
      <alignment wrapText="1"/>
    </xf>
    <xf numFmtId="0" fontId="0" fillId="0" borderId="0" xfId="0" applyFont="1"/>
    <xf numFmtId="0" fontId="0" fillId="0" borderId="10" xfId="0" applyFont="1" applyBorder="1" applyAlignment="1">
      <alignment horizontal="center" vertical="center"/>
    </xf>
    <xf numFmtId="164" fontId="0" fillId="0" borderId="10" xfId="0" applyNumberFormat="1" applyFont="1" applyBorder="1" applyAlignment="1">
      <alignment horizontal="center" vertical="center"/>
    </xf>
    <xf numFmtId="0" fontId="0" fillId="0" borderId="10" xfId="0" applyFont="1" applyBorder="1"/>
    <xf numFmtId="0" fontId="0" fillId="0" borderId="38" xfId="0" applyNumberFormat="1" applyFont="1" applyBorder="1" applyAlignment="1">
      <alignment horizontal="center" vertical="center"/>
    </xf>
    <xf numFmtId="164" fontId="0" fillId="0" borderId="38" xfId="0" applyNumberFormat="1" applyFont="1" applyBorder="1" applyAlignment="1">
      <alignment horizontal="center" vertical="center"/>
    </xf>
    <xf numFmtId="164" fontId="0" fillId="0" borderId="16" xfId="0" applyNumberFormat="1" applyFont="1" applyBorder="1" applyAlignment="1">
      <alignment horizontal="center" vertical="center"/>
    </xf>
    <xf numFmtId="164" fontId="0" fillId="0" borderId="40" xfId="0" applyNumberFormat="1" applyFont="1" applyBorder="1" applyAlignment="1">
      <alignment horizontal="center" vertical="center"/>
    </xf>
    <xf numFmtId="164" fontId="0" fillId="0" borderId="41" xfId="0" applyNumberFormat="1" applyFont="1" applyBorder="1" applyAlignment="1">
      <alignment horizontal="center" vertical="center"/>
    </xf>
    <xf numFmtId="164" fontId="0" fillId="0" borderId="18" xfId="0" applyNumberFormat="1" applyFont="1" applyBorder="1" applyAlignment="1">
      <alignment horizontal="center" vertical="center"/>
    </xf>
    <xf numFmtId="0" fontId="0" fillId="0" borderId="38" xfId="0" applyFont="1" applyBorder="1"/>
    <xf numFmtId="0" fontId="0" fillId="0" borderId="16" xfId="0" applyFont="1" applyBorder="1"/>
    <xf numFmtId="0" fontId="0" fillId="0" borderId="40" xfId="0" applyFont="1" applyBorder="1"/>
    <xf numFmtId="0" fontId="0" fillId="0" borderId="41" xfId="0" applyFont="1" applyBorder="1"/>
    <xf numFmtId="0" fontId="0" fillId="0" borderId="18" xfId="0" applyFont="1" applyBorder="1"/>
    <xf numFmtId="0" fontId="0" fillId="0" borderId="38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textRotation="90" wrapText="1"/>
    </xf>
    <xf numFmtId="0" fontId="82" fillId="0" borderId="45" xfId="0" applyFont="1" applyFill="1" applyBorder="1" applyAlignment="1">
      <alignment horizontal="center" vertical="center" textRotation="90" wrapText="1"/>
    </xf>
    <xf numFmtId="0" fontId="82" fillId="0" borderId="46" xfId="0" applyFont="1" applyFill="1" applyBorder="1" applyAlignment="1">
      <alignment horizontal="center" vertical="center" textRotation="90" wrapText="1"/>
    </xf>
    <xf numFmtId="0" fontId="0" fillId="0" borderId="41" xfId="0" applyNumberFormat="1" applyFont="1" applyBorder="1" applyAlignment="1">
      <alignment horizontal="center" vertical="center"/>
    </xf>
    <xf numFmtId="0" fontId="0" fillId="0" borderId="18" xfId="0" applyNumberFormat="1" applyFont="1" applyBorder="1" applyAlignment="1">
      <alignment horizontal="center" vertical="center"/>
    </xf>
    <xf numFmtId="0" fontId="86" fillId="0" borderId="0" xfId="0" applyFont="1"/>
    <xf numFmtId="0" fontId="84" fillId="0" borderId="10" xfId="43" applyFont="1" applyBorder="1" applyAlignment="1">
      <alignment horizontal="center"/>
    </xf>
    <xf numFmtId="0" fontId="84" fillId="0" borderId="10" xfId="43" applyFont="1" applyFill="1" applyBorder="1"/>
    <xf numFmtId="0" fontId="84" fillId="33" borderId="10" xfId="43" applyFont="1" applyFill="1" applyBorder="1" applyAlignment="1">
      <alignment horizontal="center"/>
    </xf>
    <xf numFmtId="0" fontId="84" fillId="0" borderId="10" xfId="47" applyFont="1" applyBorder="1" applyAlignment="1">
      <alignment horizontal="center"/>
    </xf>
    <xf numFmtId="0" fontId="84" fillId="0" borderId="10" xfId="47" applyFont="1" applyFill="1" applyBorder="1"/>
    <xf numFmtId="0" fontId="84" fillId="33" borderId="10" xfId="47" applyFont="1" applyFill="1" applyBorder="1" applyAlignment="1">
      <alignment horizontal="center"/>
    </xf>
    <xf numFmtId="0" fontId="84" fillId="0" borderId="10" xfId="46" applyFont="1" applyBorder="1" applyAlignment="1">
      <alignment horizontal="center"/>
    </xf>
    <xf numFmtId="0" fontId="84" fillId="0" borderId="10" xfId="46" applyFont="1" applyFill="1" applyBorder="1"/>
    <xf numFmtId="0" fontId="84" fillId="33" borderId="10" xfId="46" applyFont="1" applyFill="1" applyBorder="1" applyAlignment="1">
      <alignment horizontal="center"/>
    </xf>
    <xf numFmtId="0" fontId="84" fillId="0" borderId="10" xfId="44" applyFont="1" applyBorder="1" applyAlignment="1">
      <alignment horizontal="center"/>
    </xf>
    <xf numFmtId="0" fontId="84" fillId="0" borderId="10" xfId="44" applyFont="1" applyFill="1" applyBorder="1"/>
    <xf numFmtId="0" fontId="84" fillId="33" borderId="10" xfId="44" applyFont="1" applyFill="1" applyBorder="1" applyAlignment="1">
      <alignment horizontal="center"/>
    </xf>
    <xf numFmtId="0" fontId="0" fillId="0" borderId="41" xfId="0" applyNumberFormat="1" applyBorder="1" applyAlignment="1">
      <alignment horizontal="center" vertical="center"/>
    </xf>
    <xf numFmtId="0" fontId="84" fillId="0" borderId="10" xfId="49" applyFont="1" applyBorder="1" applyAlignment="1">
      <alignment horizontal="center"/>
    </xf>
    <xf numFmtId="0" fontId="84" fillId="0" borderId="10" xfId="49" applyFont="1" applyFill="1" applyBorder="1"/>
    <xf numFmtId="0" fontId="84" fillId="33" borderId="10" xfId="49" applyFont="1" applyFill="1" applyBorder="1" applyAlignment="1">
      <alignment horizontal="center"/>
    </xf>
    <xf numFmtId="0" fontId="84" fillId="0" borderId="10" xfId="57" applyFont="1" applyBorder="1" applyAlignment="1">
      <alignment horizontal="center"/>
    </xf>
    <xf numFmtId="0" fontId="84" fillId="0" borderId="10" xfId="57" applyFont="1" applyFill="1" applyBorder="1"/>
    <xf numFmtId="0" fontId="84" fillId="33" borderId="10" xfId="57" applyFont="1" applyFill="1" applyBorder="1" applyAlignment="1">
      <alignment horizontal="center"/>
    </xf>
    <xf numFmtId="0" fontId="84" fillId="0" borderId="10" xfId="45" applyFont="1" applyBorder="1" applyAlignment="1">
      <alignment horizontal="center"/>
    </xf>
    <xf numFmtId="0" fontId="84" fillId="0" borderId="10" xfId="45" applyFont="1" applyFill="1" applyBorder="1"/>
    <xf numFmtId="0" fontId="84" fillId="33" borderId="10" xfId="45" applyFont="1" applyFill="1" applyBorder="1" applyAlignment="1">
      <alignment horizontal="center"/>
    </xf>
    <xf numFmtId="0" fontId="84" fillId="0" borderId="10" xfId="51" applyFont="1" applyBorder="1" applyAlignment="1">
      <alignment horizontal="center"/>
    </xf>
    <xf numFmtId="0" fontId="84" fillId="0" borderId="10" xfId="51" applyFont="1" applyFill="1" applyBorder="1"/>
    <xf numFmtId="0" fontId="84" fillId="33" borderId="10" xfId="51" applyFont="1" applyFill="1" applyBorder="1" applyAlignment="1">
      <alignment horizontal="center"/>
    </xf>
    <xf numFmtId="0" fontId="84" fillId="0" borderId="10" xfId="64" applyFont="1" applyBorder="1" applyAlignment="1">
      <alignment horizontal="center"/>
    </xf>
    <xf numFmtId="0" fontId="84" fillId="0" borderId="10" xfId="64" applyFont="1" applyFill="1" applyBorder="1"/>
    <xf numFmtId="0" fontId="84" fillId="33" borderId="10" xfId="64" applyFont="1" applyFill="1" applyBorder="1" applyAlignment="1">
      <alignment horizontal="center"/>
    </xf>
    <xf numFmtId="0" fontId="87" fillId="0" borderId="0" xfId="0" applyFont="1"/>
    <xf numFmtId="0" fontId="84" fillId="0" borderId="10" xfId="52" applyFont="1" applyBorder="1" applyAlignment="1">
      <alignment horizontal="center"/>
    </xf>
    <xf numFmtId="0" fontId="84" fillId="0" borderId="10" xfId="52" applyFont="1" applyFill="1" applyBorder="1"/>
    <xf numFmtId="0" fontId="84" fillId="33" borderId="10" xfId="52" applyFont="1" applyFill="1" applyBorder="1" applyAlignment="1">
      <alignment horizontal="center"/>
    </xf>
    <xf numFmtId="0" fontId="84" fillId="0" borderId="10" xfId="50" applyFont="1" applyBorder="1" applyAlignment="1">
      <alignment horizontal="center"/>
    </xf>
    <xf numFmtId="0" fontId="84" fillId="0" borderId="10" xfId="50" applyFont="1" applyFill="1" applyBorder="1"/>
    <xf numFmtId="0" fontId="84" fillId="33" borderId="10" xfId="50" applyFont="1" applyFill="1" applyBorder="1" applyAlignment="1">
      <alignment horizontal="center"/>
    </xf>
    <xf numFmtId="0" fontId="86" fillId="0" borderId="0" xfId="0" applyFont="1" applyAlignment="1">
      <alignment wrapText="1"/>
    </xf>
    <xf numFmtId="0" fontId="84" fillId="0" borderId="10" xfId="48" applyFont="1" applyBorder="1" applyAlignment="1">
      <alignment horizontal="center"/>
    </xf>
    <xf numFmtId="0" fontId="84" fillId="0" borderId="10" xfId="48" applyFont="1" applyFill="1" applyBorder="1"/>
    <xf numFmtId="0" fontId="84" fillId="33" borderId="10" xfId="48" applyFont="1" applyFill="1" applyBorder="1" applyAlignment="1">
      <alignment horizontal="center"/>
    </xf>
    <xf numFmtId="0" fontId="39" fillId="0" borderId="0" xfId="0" applyFont="1" applyAlignment="1">
      <alignment horizontal="center" vertical="center" wrapText="1"/>
    </xf>
    <xf numFmtId="3" fontId="56" fillId="0" borderId="0" xfId="0" applyNumberFormat="1" applyFont="1" applyAlignment="1">
      <alignment horizontal="center"/>
    </xf>
    <xf numFmtId="0" fontId="33" fillId="0" borderId="20" xfId="42" applyFont="1" applyFill="1" applyBorder="1" applyAlignment="1">
      <alignment horizontal="center" vertical="center" textRotation="90"/>
    </xf>
    <xf numFmtId="0" fontId="33" fillId="0" borderId="19" xfId="42" applyFont="1" applyFill="1" applyBorder="1" applyAlignment="1">
      <alignment horizontal="center" vertical="center" textRotation="90"/>
    </xf>
    <xf numFmtId="0" fontId="38" fillId="0" borderId="12" xfId="42" applyFont="1" applyBorder="1" applyAlignment="1">
      <alignment horizontal="right"/>
    </xf>
    <xf numFmtId="0" fontId="32" fillId="0" borderId="0" xfId="42" applyFont="1" applyFill="1" applyAlignment="1">
      <alignment horizontal="center"/>
    </xf>
    <xf numFmtId="0" fontId="32" fillId="0" borderId="0" xfId="42" applyFont="1" applyFill="1" applyAlignment="1" applyProtection="1">
      <alignment horizontal="center" wrapText="1"/>
      <protection locked="0"/>
    </xf>
    <xf numFmtId="0" fontId="32" fillId="44" borderId="14" xfId="42" applyFont="1" applyFill="1" applyBorder="1" applyAlignment="1">
      <alignment horizontal="center"/>
    </xf>
    <xf numFmtId="0" fontId="32" fillId="44" borderId="21" xfId="42" applyFont="1" applyFill="1" applyBorder="1" applyAlignment="1">
      <alignment horizontal="center"/>
    </xf>
    <xf numFmtId="0" fontId="23" fillId="0" borderId="10" xfId="42" quotePrefix="1" applyFont="1" applyFill="1" applyBorder="1" applyAlignment="1">
      <alignment horizontal="center"/>
    </xf>
    <xf numFmtId="0" fontId="23" fillId="0" borderId="10" xfId="42" applyFont="1" applyFill="1" applyBorder="1" applyAlignment="1">
      <alignment horizontal="center"/>
    </xf>
    <xf numFmtId="0" fontId="32" fillId="44" borderId="10" xfId="42" applyFont="1" applyFill="1" applyBorder="1" applyAlignment="1">
      <alignment horizontal="center"/>
    </xf>
    <xf numFmtId="0" fontId="32" fillId="44" borderId="14" xfId="42" applyFont="1" applyFill="1" applyBorder="1" applyAlignment="1">
      <alignment horizontal="left"/>
    </xf>
    <xf numFmtId="0" fontId="32" fillId="44" borderId="21" xfId="42" applyFont="1" applyFill="1" applyBorder="1" applyAlignment="1">
      <alignment horizontal="left"/>
    </xf>
    <xf numFmtId="0" fontId="23" fillId="0" borderId="20" xfId="42" quotePrefix="1" applyFont="1" applyFill="1" applyBorder="1" applyAlignment="1">
      <alignment horizontal="center"/>
    </xf>
    <xf numFmtId="0" fontId="23" fillId="0" borderId="22" xfId="42" quotePrefix="1" applyFont="1" applyFill="1" applyBorder="1" applyAlignment="1">
      <alignment horizontal="center"/>
    </xf>
    <xf numFmtId="0" fontId="23" fillId="0" borderId="20" xfId="42" applyFont="1" applyFill="1" applyBorder="1" applyAlignment="1">
      <alignment horizontal="center"/>
    </xf>
    <xf numFmtId="0" fontId="23" fillId="0" borderId="22" xfId="42" applyFont="1" applyFill="1" applyBorder="1" applyAlignment="1">
      <alignment horizontal="center"/>
    </xf>
    <xf numFmtId="0" fontId="81" fillId="0" borderId="0" xfId="42" applyFont="1" applyAlignment="1" applyProtection="1">
      <alignment horizontal="center"/>
    </xf>
    <xf numFmtId="0" fontId="81" fillId="0" borderId="0" xfId="42" applyFont="1" applyAlignment="1" applyProtection="1">
      <alignment horizontal="center" wrapText="1"/>
      <protection locked="0"/>
    </xf>
    <xf numFmtId="0" fontId="76" fillId="0" borderId="14" xfId="42" applyNumberFormat="1" applyFont="1" applyFill="1" applyBorder="1" applyAlignment="1" applyProtection="1">
      <alignment horizontal="center" vertical="center" wrapText="1"/>
    </xf>
    <xf numFmtId="0" fontId="76" fillId="0" borderId="34" xfId="42" applyNumberFormat="1" applyFont="1" applyFill="1" applyBorder="1" applyAlignment="1" applyProtection="1">
      <alignment horizontal="center" vertical="center" wrapText="1"/>
    </xf>
    <xf numFmtId="0" fontId="76" fillId="0" borderId="21" xfId="42" applyNumberFormat="1" applyFont="1" applyFill="1" applyBorder="1" applyAlignment="1" applyProtection="1">
      <alignment horizontal="center" vertical="center" wrapText="1"/>
    </xf>
    <xf numFmtId="0" fontId="76" fillId="0" borderId="14" xfId="42" applyFont="1" applyFill="1" applyBorder="1" applyAlignment="1" applyProtection="1">
      <alignment horizontal="center" vertical="center" wrapText="1"/>
    </xf>
    <xf numFmtId="0" fontId="76" fillId="0" borderId="34" xfId="42" applyFont="1" applyFill="1" applyBorder="1" applyAlignment="1" applyProtection="1">
      <alignment horizontal="center" vertical="center" wrapText="1"/>
    </xf>
    <xf numFmtId="0" fontId="76" fillId="0" borderId="21" xfId="42" applyFont="1" applyFill="1" applyBorder="1" applyAlignment="1" applyProtection="1">
      <alignment horizontal="center" vertical="center" wrapText="1"/>
    </xf>
    <xf numFmtId="0" fontId="76" fillId="0" borderId="10" xfId="42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textRotation="90" wrapText="1"/>
    </xf>
    <xf numFmtId="0" fontId="0" fillId="0" borderId="10" xfId="0" applyFill="1" applyBorder="1" applyAlignment="1">
      <alignment horizontal="center"/>
    </xf>
    <xf numFmtId="0" fontId="0" fillId="34" borderId="10" xfId="0" applyFill="1" applyBorder="1" applyAlignment="1">
      <alignment horizontal="center" wrapText="1"/>
    </xf>
    <xf numFmtId="0" fontId="0" fillId="33" borderId="10" xfId="0" applyFill="1" applyBorder="1" applyAlignment="1">
      <alignment horizontal="center" wrapText="1"/>
    </xf>
    <xf numFmtId="0" fontId="0" fillId="34" borderId="13" xfId="0" applyFill="1" applyBorder="1" applyAlignment="1">
      <alignment horizontal="center" wrapText="1"/>
    </xf>
    <xf numFmtId="0" fontId="0" fillId="34" borderId="12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3" borderId="11" xfId="0" applyFill="1" applyBorder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34" borderId="20" xfId="0" applyFill="1" applyBorder="1" applyAlignment="1">
      <alignment horizontal="center" wrapText="1"/>
    </xf>
    <xf numFmtId="0" fontId="0" fillId="34" borderId="22" xfId="0" applyFill="1" applyBorder="1" applyAlignment="1">
      <alignment horizontal="center" wrapText="1"/>
    </xf>
    <xf numFmtId="0" fontId="0" fillId="33" borderId="14" xfId="0" applyFill="1" applyBorder="1" applyAlignment="1">
      <alignment horizontal="center" wrapText="1"/>
    </xf>
    <xf numFmtId="0" fontId="0" fillId="33" borderId="21" xfId="0" applyFill="1" applyBorder="1" applyAlignment="1">
      <alignment horizontal="center" wrapText="1"/>
    </xf>
    <xf numFmtId="0" fontId="0" fillId="33" borderId="20" xfId="0" applyFill="1" applyBorder="1" applyAlignment="1">
      <alignment horizontal="center" wrapText="1"/>
    </xf>
    <xf numFmtId="0" fontId="0" fillId="33" borderId="22" xfId="0" applyFill="1" applyBorder="1" applyAlignment="1">
      <alignment horizontal="center" wrapText="1"/>
    </xf>
    <xf numFmtId="0" fontId="0" fillId="34" borderId="34" xfId="0" applyFill="1" applyBorder="1" applyAlignment="1">
      <alignment horizontal="center" wrapText="1"/>
    </xf>
    <xf numFmtId="0" fontId="0" fillId="34" borderId="21" xfId="0" applyFill="1" applyBorder="1" applyAlignment="1">
      <alignment horizontal="center" wrapText="1"/>
    </xf>
    <xf numFmtId="0" fontId="0" fillId="34" borderId="19" xfId="0" applyFill="1" applyBorder="1" applyAlignment="1">
      <alignment horizontal="center" wrapText="1"/>
    </xf>
    <xf numFmtId="0" fontId="0" fillId="33" borderId="34" xfId="0" applyFill="1" applyBorder="1" applyAlignment="1">
      <alignment horizontal="center" wrapText="1"/>
    </xf>
    <xf numFmtId="0" fontId="0" fillId="33" borderId="19" xfId="0" applyFill="1" applyBorder="1" applyAlignment="1">
      <alignment horizontal="center" wrapText="1"/>
    </xf>
    <xf numFmtId="0" fontId="0" fillId="33" borderId="31" xfId="0" applyFill="1" applyBorder="1" applyAlignment="1">
      <alignment horizontal="center" wrapText="1"/>
    </xf>
    <xf numFmtId="0" fontId="0" fillId="33" borderId="36" xfId="0" applyFill="1" applyBorder="1" applyAlignment="1">
      <alignment horizontal="center" wrapText="1"/>
    </xf>
    <xf numFmtId="0" fontId="0" fillId="33" borderId="13" xfId="0" applyFill="1" applyBorder="1" applyAlignment="1">
      <alignment horizontal="center" wrapText="1"/>
    </xf>
    <xf numFmtId="0" fontId="0" fillId="33" borderId="37" xfId="0" applyFill="1" applyBorder="1" applyAlignment="1">
      <alignment horizontal="center" wrapText="1"/>
    </xf>
    <xf numFmtId="0" fontId="0" fillId="34" borderId="37" xfId="0" applyFill="1" applyBorder="1" applyAlignment="1">
      <alignment horizontal="center" wrapText="1"/>
    </xf>
    <xf numFmtId="0" fontId="0" fillId="34" borderId="31" xfId="0" applyFill="1" applyBorder="1" applyAlignment="1">
      <alignment horizontal="center" wrapText="1"/>
    </xf>
    <xf numFmtId="0" fontId="0" fillId="34" borderId="36" xfId="0" applyFill="1" applyBorder="1" applyAlignment="1">
      <alignment horizontal="center" wrapText="1"/>
    </xf>
    <xf numFmtId="0" fontId="16" fillId="33" borderId="15" xfId="0" applyFont="1" applyFill="1" applyBorder="1" applyAlignment="1">
      <alignment horizontal="center" vertical="center" textRotation="90" wrapText="1"/>
    </xf>
    <xf numFmtId="0" fontId="16" fillId="33" borderId="39" xfId="0" applyFont="1" applyFill="1" applyBorder="1" applyAlignment="1">
      <alignment horizontal="center" vertical="center" textRotation="90" wrapText="1"/>
    </xf>
    <xf numFmtId="0" fontId="16" fillId="33" borderId="17" xfId="0" applyFont="1" applyFill="1" applyBorder="1" applyAlignment="1">
      <alignment horizontal="center" vertical="center" textRotation="90" wrapText="1"/>
    </xf>
    <xf numFmtId="0" fontId="0" fillId="33" borderId="38" xfId="0" applyFill="1" applyBorder="1" applyAlignment="1">
      <alignment horizontal="center" vertical="center" wrapText="1"/>
    </xf>
    <xf numFmtId="0" fontId="0" fillId="33" borderId="38" xfId="0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center" vertical="center" wrapText="1"/>
    </xf>
    <xf numFmtId="0" fontId="0" fillId="33" borderId="10" xfId="0" applyFill="1" applyBorder="1" applyAlignment="1">
      <alignment horizontal="center" vertical="center" wrapText="1"/>
    </xf>
    <xf numFmtId="0" fontId="0" fillId="33" borderId="41" xfId="0" applyFill="1" applyBorder="1" applyAlignment="1">
      <alignment horizontal="center" vertical="center" wrapText="1"/>
    </xf>
    <xf numFmtId="0" fontId="0" fillId="33" borderId="41" xfId="0" applyFont="1" applyFill="1" applyBorder="1" applyAlignment="1">
      <alignment horizontal="center" vertical="center" wrapText="1"/>
    </xf>
    <xf numFmtId="0" fontId="0" fillId="33" borderId="39" xfId="0" applyFont="1" applyFill="1" applyBorder="1" applyAlignment="1">
      <alignment horizontal="center" vertical="center" wrapText="1"/>
    </xf>
    <xf numFmtId="0" fontId="0" fillId="33" borderId="17" xfId="0" applyFont="1" applyFill="1" applyBorder="1" applyAlignment="1">
      <alignment horizontal="center" vertical="center" wrapText="1"/>
    </xf>
    <xf numFmtId="0" fontId="0" fillId="0" borderId="42" xfId="0" applyFont="1" applyBorder="1" applyAlignment="1">
      <alignment horizontal="center" wrapText="1"/>
    </xf>
    <xf numFmtId="0" fontId="0" fillId="0" borderId="43" xfId="0" applyFont="1" applyBorder="1" applyAlignment="1">
      <alignment horizontal="center" wrapText="1"/>
    </xf>
    <xf numFmtId="0" fontId="0" fillId="0" borderId="44" xfId="0" applyFont="1" applyBorder="1" applyAlignment="1">
      <alignment horizontal="center" wrapText="1"/>
    </xf>
    <xf numFmtId="0" fontId="84" fillId="0" borderId="12" xfId="57" applyFont="1" applyBorder="1" applyAlignment="1">
      <alignment horizontal="center"/>
    </xf>
    <xf numFmtId="0" fontId="84" fillId="0" borderId="12" xfId="43" applyFont="1" applyBorder="1" applyAlignment="1">
      <alignment horizontal="center"/>
    </xf>
    <xf numFmtId="0" fontId="84" fillId="0" borderId="12" xfId="47" applyFont="1" applyBorder="1" applyAlignment="1">
      <alignment horizontal="center"/>
    </xf>
    <xf numFmtId="0" fontId="84" fillId="0" borderId="12" xfId="46" applyFont="1" applyBorder="1" applyAlignment="1">
      <alignment horizontal="center"/>
    </xf>
    <xf numFmtId="0" fontId="84" fillId="0" borderId="12" xfId="44" applyFont="1" applyBorder="1" applyAlignment="1">
      <alignment horizontal="center"/>
    </xf>
    <xf numFmtId="0" fontId="84" fillId="0" borderId="12" xfId="49" applyFont="1" applyBorder="1" applyAlignment="1">
      <alignment horizontal="center"/>
    </xf>
    <xf numFmtId="0" fontId="84" fillId="0" borderId="12" xfId="48" applyFont="1" applyBorder="1" applyAlignment="1">
      <alignment horizontal="center"/>
    </xf>
    <xf numFmtId="0" fontId="84" fillId="0" borderId="12" xfId="45" applyFont="1" applyBorder="1" applyAlignment="1">
      <alignment horizontal="center"/>
    </xf>
    <xf numFmtId="0" fontId="84" fillId="0" borderId="12" xfId="51" applyFont="1" applyBorder="1" applyAlignment="1">
      <alignment horizontal="center"/>
    </xf>
    <xf numFmtId="0" fontId="84" fillId="0" borderId="12" xfId="64" applyFont="1" applyBorder="1" applyAlignment="1">
      <alignment horizontal="center"/>
    </xf>
    <xf numFmtId="0" fontId="84" fillId="0" borderId="12" xfId="52" applyFont="1" applyBorder="1" applyAlignment="1">
      <alignment horizontal="center"/>
    </xf>
    <xf numFmtId="0" fontId="84" fillId="0" borderId="12" xfId="50" applyFont="1" applyBorder="1" applyAlignment="1">
      <alignment horizontal="center"/>
    </xf>
    <xf numFmtId="0" fontId="0" fillId="33" borderId="0" xfId="0" applyFill="1"/>
  </cellXfs>
  <cellStyles count="173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10" xfId="51"/>
    <cellStyle name="Обычный 10 2" xfId="116"/>
    <cellStyle name="Обычный 11" xfId="64"/>
    <cellStyle name="Обычный 11 2" xfId="129"/>
    <cellStyle name="Обычный 11 3" xfId="142"/>
    <cellStyle name="Обычный 11 4" xfId="155"/>
    <cellStyle name="Обычный 12" xfId="52"/>
    <cellStyle name="Обычный 12 2" xfId="157"/>
    <cellStyle name="Обычный 13" xfId="50"/>
    <cellStyle name="Обычный 13 2" xfId="172"/>
    <cellStyle name="Обычный 14" xfId="48"/>
    <cellStyle name="Обычный 2" xfId="42"/>
    <cellStyle name="Обычный 2 10" xfId="117"/>
    <cellStyle name="Обычный 2 11" xfId="130"/>
    <cellStyle name="Обычный 2 12" xfId="143"/>
    <cellStyle name="Обычный 2 13" xfId="158"/>
    <cellStyle name="Обычный 2 2" xfId="53"/>
    <cellStyle name="Обычный 2 3" xfId="58"/>
    <cellStyle name="Обычный 2 4" xfId="63"/>
    <cellStyle name="Обычный 2 5" xfId="70"/>
    <cellStyle name="Обычный 2 6" xfId="78"/>
    <cellStyle name="Обычный 2 7" xfId="86"/>
    <cellStyle name="Обычный 2 8" xfId="95"/>
    <cellStyle name="Обычный 2 9" xfId="105"/>
    <cellStyle name="Обычный 3" xfId="43"/>
    <cellStyle name="Обычный 3 10" xfId="118"/>
    <cellStyle name="Обычный 3 10 2" xfId="128"/>
    <cellStyle name="Обычный 3 10 3" xfId="141"/>
    <cellStyle name="Обычный 3 10 4" xfId="154"/>
    <cellStyle name="Обычный 3 10 5" xfId="169"/>
    <cellStyle name="Обычный 3 11" xfId="131"/>
    <cellStyle name="Обычный 3 11 2" xfId="156"/>
    <cellStyle name="Обычный 3 11 3" xfId="170"/>
    <cellStyle name="Обычный 3 12" xfId="144"/>
    <cellStyle name="Обычный 3 12 2" xfId="171"/>
    <cellStyle name="Обычный 3 13" xfId="159"/>
    <cellStyle name="Обычный 3 2" xfId="55"/>
    <cellStyle name="Обычный 3 2 10" xfId="119"/>
    <cellStyle name="Обычный 3 2 11" xfId="132"/>
    <cellStyle name="Обычный 3 2 12" xfId="145"/>
    <cellStyle name="Обычный 3 2 13" xfId="160"/>
    <cellStyle name="Обычный 3 2 2" xfId="56"/>
    <cellStyle name="Обычный 3 2 3" xfId="60"/>
    <cellStyle name="Обычный 3 2 4" xfId="66"/>
    <cellStyle name="Обычный 3 2 5" xfId="72"/>
    <cellStyle name="Обычный 3 2 6" xfId="80"/>
    <cellStyle name="Обычный 3 2 7" xfId="88"/>
    <cellStyle name="Обычный 3 2 8" xfId="97"/>
    <cellStyle name="Обычный 3 2 9" xfId="107"/>
    <cellStyle name="Обычный 3 3" xfId="59"/>
    <cellStyle name="Обычный 3 3 10" xfId="133"/>
    <cellStyle name="Обычный 3 3 11" xfId="146"/>
    <cellStyle name="Обычный 3 3 12" xfId="161"/>
    <cellStyle name="Обычный 3 3 2" xfId="62"/>
    <cellStyle name="Обычный 3 3 3" xfId="67"/>
    <cellStyle name="Обычный 3 3 4" xfId="73"/>
    <cellStyle name="Обычный 3 3 5" xfId="81"/>
    <cellStyle name="Обычный 3 3 6" xfId="89"/>
    <cellStyle name="Обычный 3 3 7" xfId="98"/>
    <cellStyle name="Обычный 3 3 8" xfId="108"/>
    <cellStyle name="Обычный 3 3 9" xfId="120"/>
    <cellStyle name="Обычный 3 4" xfId="65"/>
    <cellStyle name="Обычный 3 4 10" xfId="147"/>
    <cellStyle name="Обычный 3 4 11" xfId="162"/>
    <cellStyle name="Обычный 3 4 2" xfId="68"/>
    <cellStyle name="Обычный 3 4 3" xfId="74"/>
    <cellStyle name="Обычный 3 4 4" xfId="82"/>
    <cellStyle name="Обычный 3 4 5" xfId="90"/>
    <cellStyle name="Обычный 3 4 6" xfId="99"/>
    <cellStyle name="Обычный 3 4 7" xfId="109"/>
    <cellStyle name="Обычный 3 4 8" xfId="121"/>
    <cellStyle name="Обычный 3 4 9" xfId="134"/>
    <cellStyle name="Обычный 3 5" xfId="71"/>
    <cellStyle name="Обычный 3 5 10" xfId="163"/>
    <cellStyle name="Обычный 3 5 2" xfId="76"/>
    <cellStyle name="Обычный 3 5 3" xfId="83"/>
    <cellStyle name="Обычный 3 5 4" xfId="91"/>
    <cellStyle name="Обычный 3 5 5" xfId="100"/>
    <cellStyle name="Обычный 3 5 6" xfId="110"/>
    <cellStyle name="Обычный 3 5 7" xfId="122"/>
    <cellStyle name="Обычный 3 5 8" xfId="135"/>
    <cellStyle name="Обычный 3 5 9" xfId="148"/>
    <cellStyle name="Обычный 3 6" xfId="79"/>
    <cellStyle name="Обычный 3 6 2" xfId="84"/>
    <cellStyle name="Обычный 3 6 3" xfId="92"/>
    <cellStyle name="Обычный 3 6 4" xfId="101"/>
    <cellStyle name="Обычный 3 6 5" xfId="111"/>
    <cellStyle name="Обычный 3 6 6" xfId="123"/>
    <cellStyle name="Обычный 3 6 7" xfId="136"/>
    <cellStyle name="Обычный 3 6 8" xfId="149"/>
    <cellStyle name="Обычный 3 6 9" xfId="164"/>
    <cellStyle name="Обычный 3 7" xfId="87"/>
    <cellStyle name="Обычный 3 7 2" xfId="93"/>
    <cellStyle name="Обычный 3 7 3" xfId="102"/>
    <cellStyle name="Обычный 3 7 4" xfId="112"/>
    <cellStyle name="Обычный 3 7 5" xfId="124"/>
    <cellStyle name="Обычный 3 7 6" xfId="137"/>
    <cellStyle name="Обычный 3 7 7" xfId="150"/>
    <cellStyle name="Обычный 3 7 8" xfId="165"/>
    <cellStyle name="Обычный 3 8" xfId="96"/>
    <cellStyle name="Обычный 3 8 2" xfId="103"/>
    <cellStyle name="Обычный 3 8 3" xfId="113"/>
    <cellStyle name="Обычный 3 8 4" xfId="125"/>
    <cellStyle name="Обычный 3 8 5" xfId="138"/>
    <cellStyle name="Обычный 3 8 6" xfId="151"/>
    <cellStyle name="Обычный 3 8 7" xfId="166"/>
    <cellStyle name="Обычный 3 9" xfId="106"/>
    <cellStyle name="Обычный 3 9 2" xfId="115"/>
    <cellStyle name="Обычный 3 9 3" xfId="127"/>
    <cellStyle name="Обычный 3 9 4" xfId="140"/>
    <cellStyle name="Обычный 3 9 5" xfId="153"/>
    <cellStyle name="Обычный 3 9 6" xfId="168"/>
    <cellStyle name="Обычный 4" xfId="47"/>
    <cellStyle name="Обычный 4 2" xfId="61"/>
    <cellStyle name="Обычный 5" xfId="46"/>
    <cellStyle name="Обычный 5 2" xfId="69"/>
    <cellStyle name="Обычный 5 3" xfId="75"/>
    <cellStyle name="Обычный 6" xfId="44"/>
    <cellStyle name="Обычный 6 2" xfId="77"/>
    <cellStyle name="Обычный 7" xfId="49"/>
    <cellStyle name="Обычный 7 2" xfId="85"/>
    <cellStyle name="Обычный 8" xfId="57"/>
    <cellStyle name="Обычный 8 2" xfId="94"/>
    <cellStyle name="Обычный 9" xfId="45"/>
    <cellStyle name="Обычный 9 2" xfId="104"/>
    <cellStyle name="Обычный 9 3" xfId="114"/>
    <cellStyle name="Обычный 9 4" xfId="126"/>
    <cellStyle name="Обычный 9 5" xfId="139"/>
    <cellStyle name="Обычный 9 6" xfId="152"/>
    <cellStyle name="Обычный 9 7" xfId="167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54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  <colors>
    <mruColors>
      <color rgb="FFFFFF66"/>
      <color rgb="FFBCE292"/>
      <color rgb="FF66FFCC"/>
      <color rgb="FF66FFFF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8516016452004123E-2"/>
          <c:y val="3.2923030913715852E-2"/>
          <c:w val="0.71452937429701968"/>
          <c:h val="0.81881797899437392"/>
        </c:manualLayout>
      </c:layout>
      <c:barChart>
        <c:barDir val="col"/>
        <c:grouping val="clustered"/>
        <c:ser>
          <c:idx val="2"/>
          <c:order val="0"/>
          <c:tx>
            <c:strRef>
              <c:f>Справочник!$J$1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Диаграммы!$CA$91:$CL$91</c:f>
              <c:numCache>
                <c:formatCode>General</c:formatCode>
                <c:ptCount val="12"/>
                <c:pt idx="0">
                  <c:v>3565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1"/>
          <c:tx>
            <c:v>из них тяжких и особо тяжких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Диаграммы!$CA$92:$CL$92</c:f>
              <c:numCache>
                <c:formatCode>General</c:formatCode>
                <c:ptCount val="12"/>
                <c:pt idx="0">
                  <c:v>685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2"/>
          <c:tx>
            <c:strRef>
              <c:f>Справочник!$J$2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Диаграммы!$CA$89:$CL$89</c:f>
              <c:numCache>
                <c:formatCode>General</c:formatCode>
                <c:ptCount val="12"/>
                <c:pt idx="0">
                  <c:v>3524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3"/>
          <c:tx>
            <c:v>из них тяжких и особо тяжких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Диаграммы!$CA$90:$CL$90</c:f>
              <c:numCache>
                <c:formatCode>General</c:formatCode>
                <c:ptCount val="12"/>
                <c:pt idx="0">
                  <c:v>706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07193472"/>
        <c:axId val="107195008"/>
      </c:barChart>
      <c:catAx>
        <c:axId val="107193472"/>
        <c:scaling>
          <c:orientation val="minMax"/>
        </c:scaling>
        <c:axPos val="b"/>
        <c:numFmt formatCode="General" sourceLinked="1"/>
        <c:tickLblPos val="nextTo"/>
        <c:crossAx val="107195008"/>
        <c:crosses val="autoZero"/>
        <c:auto val="1"/>
        <c:lblAlgn val="ctr"/>
        <c:lblOffset val="100"/>
      </c:catAx>
      <c:valAx>
        <c:axId val="107195008"/>
        <c:scaling>
          <c:orientation val="minMax"/>
        </c:scaling>
        <c:axPos val="l"/>
        <c:majorGridlines/>
        <c:numFmt formatCode="General" sourceLinked="1"/>
        <c:tickLblPos val="nextTo"/>
        <c:crossAx val="10719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188443146595245"/>
          <c:y val="7.3191851642902123E-3"/>
          <c:w val="0.17376557706754606"/>
          <c:h val="0.63617896928846274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Диаграммы!$BG$15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Диаграммы!$BH$27:$BS$27</c:f>
              <c:numCache>
                <c:formatCode>0.0%</c:formatCode>
                <c:ptCount val="12"/>
                <c:pt idx="0">
                  <c:v>0.3452617627567926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Диаграммы!$BG$16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Диаграммы!$BH$28:$BS$28</c:f>
              <c:numCache>
                <c:formatCode>0.0%</c:formatCode>
                <c:ptCount val="12"/>
                <c:pt idx="0">
                  <c:v>0.39121482498284144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5952256"/>
        <c:axId val="115958144"/>
      </c:barChart>
      <c:catAx>
        <c:axId val="115952256"/>
        <c:scaling>
          <c:orientation val="minMax"/>
        </c:scaling>
        <c:delete val="1"/>
        <c:axPos val="b"/>
        <c:tickLblPos val="none"/>
        <c:crossAx val="115958144"/>
        <c:crosses val="autoZero"/>
        <c:auto val="1"/>
        <c:lblAlgn val="ctr"/>
        <c:lblOffset val="100"/>
      </c:catAx>
      <c:valAx>
        <c:axId val="115958144"/>
        <c:scaling>
          <c:orientation val="minMax"/>
        </c:scaling>
        <c:axPos val="l"/>
        <c:majorGridlines/>
        <c:numFmt formatCode="0.0%" sourceLinked="1"/>
        <c:tickLblPos val="nextTo"/>
        <c:crossAx val="1159522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Диаграммы!$BG$29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Диаграммы!$CA$84:$CL$84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Диаграммы!$BH$29:$BS$29</c:f>
              <c:numCache>
                <c:formatCode>0.0%</c:formatCode>
                <c:ptCount val="12"/>
                <c:pt idx="0">
                  <c:v>0.21052631578947367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Диаграммы!$BG$30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cat>
            <c:strRef>
              <c:f>Диаграммы!$CA$84:$CL$84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Диаграммы!$BH$30:$BS$30</c:f>
              <c:numCache>
                <c:formatCode>0.0%</c:formatCode>
                <c:ptCount val="12"/>
                <c:pt idx="0">
                  <c:v>0.23024054982817868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5995776"/>
        <c:axId val="115997312"/>
      </c:barChart>
      <c:catAx>
        <c:axId val="115995776"/>
        <c:scaling>
          <c:orientation val="minMax"/>
        </c:scaling>
        <c:axPos val="b"/>
        <c:tickLblPos val="nextTo"/>
        <c:txPr>
          <a:bodyPr rot="-2700000" vert="horz"/>
          <a:lstStyle/>
          <a:p>
            <a:pPr>
              <a:defRPr/>
            </a:pPr>
            <a:endParaRPr lang="ru-RU"/>
          </a:p>
        </c:txPr>
        <c:crossAx val="115997312"/>
        <c:crosses val="autoZero"/>
        <c:auto val="1"/>
        <c:lblAlgn val="ctr"/>
        <c:lblOffset val="100"/>
      </c:catAx>
      <c:valAx>
        <c:axId val="115997312"/>
        <c:scaling>
          <c:orientation val="minMax"/>
        </c:scaling>
        <c:axPos val="l"/>
        <c:majorGridlines/>
        <c:numFmt formatCode="0.0%" sourceLinked="1"/>
        <c:tickLblPos val="nextTo"/>
        <c:crossAx val="1159957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6301315841362927E-2"/>
          <c:y val="7.4548702245552642E-2"/>
          <c:w val="0.88348542408826558"/>
          <c:h val="0.65931181063933286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Диаграммы!$CN$30</c:f>
              <c:strCache>
                <c:ptCount val="1"/>
                <c:pt idx="0">
                  <c:v>Умышленные убийства</c:v>
                </c:pt>
              </c:strCache>
            </c:strRef>
          </c:tx>
          <c:dLbls>
            <c:showVal val="1"/>
          </c:dLbls>
          <c:val>
            <c:numRef>
              <c:f>Диаграммы!$CP$31:$DA$31</c:f>
              <c:numCache>
                <c:formatCode>General</c:formatCode>
                <c:ptCount val="12"/>
                <c:pt idx="0">
                  <c:v>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Диаграммы!$CN$32</c:f>
              <c:strCache>
                <c:ptCount val="1"/>
                <c:pt idx="0">
                  <c:v>Умышленное причинение тяжкого вреда здоровью</c:v>
                </c:pt>
              </c:strCache>
            </c:strRef>
          </c:tx>
          <c:dLbls>
            <c:showVal val="1"/>
          </c:dLbls>
          <c:val>
            <c:numRef>
              <c:f>Диаграммы!$CP$33:$DA$33</c:f>
              <c:numCache>
                <c:formatCode>General</c:formatCode>
                <c:ptCount val="12"/>
                <c:pt idx="0">
                  <c:v>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Диаграммы!$CN$36</c:f>
              <c:strCache>
                <c:ptCount val="1"/>
                <c:pt idx="0">
                  <c:v>Изнасилование</c:v>
                </c:pt>
              </c:strCache>
            </c:strRef>
          </c:tx>
          <c:dLbls>
            <c:showVal val="1"/>
          </c:dLbls>
          <c:val>
            <c:numRef>
              <c:f>Диаграммы!$CP$37:$DA$37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16551040"/>
        <c:axId val="116565120"/>
      </c:barChart>
      <c:catAx>
        <c:axId val="116551040"/>
        <c:scaling>
          <c:orientation val="minMax"/>
        </c:scaling>
        <c:axPos val="b"/>
        <c:tickLblPos val="nextTo"/>
        <c:crossAx val="116565120"/>
        <c:crosses val="autoZero"/>
        <c:auto val="1"/>
        <c:lblAlgn val="ctr"/>
        <c:lblOffset val="100"/>
      </c:catAx>
      <c:valAx>
        <c:axId val="116565120"/>
        <c:scaling>
          <c:orientation val="minMax"/>
        </c:scaling>
        <c:axPos val="l"/>
        <c:majorGridlines/>
        <c:numFmt formatCode="General" sourceLinked="1"/>
        <c:tickLblPos val="nextTo"/>
        <c:crossAx val="116551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57995875515766"/>
          <c:w val="1"/>
          <c:h val="0.12945678665166854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9144881889763818E-2"/>
          <c:y val="9.5138205998263267E-2"/>
          <c:w val="0.92085514352442865"/>
          <c:h val="0.69435074238909944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Диаграммы!$CN$38</c:f>
              <c:strCache>
                <c:ptCount val="1"/>
                <c:pt idx="0">
                  <c:v>Кражи</c:v>
                </c:pt>
              </c:strCache>
            </c:strRef>
          </c:tx>
          <c:dLbls>
            <c:showVal val="1"/>
          </c:dLbls>
          <c:val>
            <c:numRef>
              <c:f>Диаграммы!$CP$39:$DA$39</c:f>
              <c:numCache>
                <c:formatCode>General</c:formatCode>
                <c:ptCount val="12"/>
                <c:pt idx="0">
                  <c:v>1421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Диаграммы!$CN$42</c:f>
              <c:strCache>
                <c:ptCount val="1"/>
                <c:pt idx="0">
                  <c:v>Грабежи</c:v>
                </c:pt>
              </c:strCache>
            </c:strRef>
          </c:tx>
          <c:dLbls>
            <c:showVal val="1"/>
          </c:dLbls>
          <c:val>
            <c:numRef>
              <c:f>Диаграммы!$CP$43:$DA$43</c:f>
              <c:numCache>
                <c:formatCode>General</c:formatCode>
                <c:ptCount val="12"/>
                <c:pt idx="0">
                  <c:v>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Диаграммы!$CN$44</c:f>
              <c:strCache>
                <c:ptCount val="1"/>
                <c:pt idx="0">
                  <c:v>Разбои</c:v>
                </c:pt>
              </c:strCache>
            </c:strRef>
          </c:tx>
          <c:dLbls>
            <c:dLblPos val="inBase"/>
            <c:showVal val="1"/>
          </c:dLbls>
          <c:val>
            <c:numRef>
              <c:f>Диаграммы!$CP$45:$DA$45</c:f>
              <c:numCache>
                <c:formatCode>General</c:formatCode>
                <c:ptCount val="12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17124096"/>
        <c:axId val="117138176"/>
      </c:barChart>
      <c:catAx>
        <c:axId val="117124096"/>
        <c:scaling>
          <c:orientation val="minMax"/>
        </c:scaling>
        <c:axPos val="b"/>
        <c:tickLblPos val="nextTo"/>
        <c:crossAx val="117138176"/>
        <c:crosses val="autoZero"/>
        <c:auto val="1"/>
        <c:lblAlgn val="ctr"/>
        <c:lblOffset val="100"/>
      </c:catAx>
      <c:valAx>
        <c:axId val="117138176"/>
        <c:scaling>
          <c:orientation val="minMax"/>
        </c:scaling>
        <c:axPos val="l"/>
        <c:majorGridlines/>
        <c:numFmt formatCode="General" sourceLinked="1"/>
        <c:tickLblPos val="nextTo"/>
        <c:crossAx val="11712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47988993028802"/>
          <c:y val="0.88352390733765318"/>
          <c:w val="0.34149847295799984"/>
          <c:h val="0.11647609266233025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п</a:t>
            </a:r>
            <a:r>
              <a:rPr lang="ru-RU" sz="1050" b="0"/>
              <a:t>реступлений</a:t>
            </a:r>
            <a:r>
              <a:rPr lang="ru-RU" sz="1050" b="0" baseline="0"/>
              <a:t> связанных с наркотиками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077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Диаграммы!$CP$50:$DA$50</c:f>
              <c:numCache>
                <c:formatCode>General</c:formatCode>
                <c:ptCount val="12"/>
                <c:pt idx="0">
                  <c:v>356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Диаграммы!$CP$51:$DA$51</c:f>
              <c:numCache>
                <c:formatCode>General</c:formatCode>
                <c:ptCount val="12"/>
                <c:pt idx="0">
                  <c:v>300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7181056"/>
        <c:axId val="117199232"/>
      </c:barChart>
      <c:catAx>
        <c:axId val="117181056"/>
        <c:scaling>
          <c:orientation val="minMax"/>
        </c:scaling>
        <c:axPos val="b"/>
        <c:majorTickMark val="none"/>
        <c:tickLblPos val="nextTo"/>
        <c:crossAx val="117199232"/>
        <c:crosses val="autoZero"/>
        <c:auto val="1"/>
        <c:lblAlgn val="ctr"/>
        <c:lblOffset val="100"/>
      </c:catAx>
      <c:valAx>
        <c:axId val="11719923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171810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Диаграммы!$BZ$26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Диаграммы!$CA$26:$CL$26</c:f>
              <c:numCache>
                <c:formatCode>General</c:formatCode>
                <c:ptCount val="12"/>
                <c:pt idx="0">
                  <c:v>3524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Диаграммы!$BZ$27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Диаграммы!$CA$27:$CL$27</c:f>
              <c:numCache>
                <c:formatCode>General</c:formatCode>
                <c:ptCount val="12"/>
                <c:pt idx="0">
                  <c:v>3565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7224960"/>
        <c:axId val="117226496"/>
      </c:barChart>
      <c:catAx>
        <c:axId val="117224960"/>
        <c:scaling>
          <c:orientation val="minMax"/>
        </c:scaling>
        <c:axPos val="b"/>
        <c:tickLblPos val="nextTo"/>
        <c:crossAx val="117226496"/>
        <c:crosses val="autoZero"/>
        <c:auto val="1"/>
        <c:lblAlgn val="ctr"/>
        <c:lblOffset val="100"/>
      </c:catAx>
      <c:valAx>
        <c:axId val="117226496"/>
        <c:scaling>
          <c:orientation val="minMax"/>
        </c:scaling>
        <c:axPos val="l"/>
        <c:majorGridlines/>
        <c:numFmt formatCode="General" sourceLinked="1"/>
        <c:tickLblPos val="nextTo"/>
        <c:crossAx val="1172249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Диаграммы!$BZ$28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Диаграммы!$CA$28:$CL$28</c:f>
              <c:numCache>
                <c:formatCode>General</c:formatCode>
                <c:ptCount val="12"/>
                <c:pt idx="0">
                  <c:v>706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Диаграммы!$BZ$29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Диаграммы!$CA$29:$CL$29</c:f>
              <c:numCache>
                <c:formatCode>General</c:formatCode>
                <c:ptCount val="12"/>
                <c:pt idx="0">
                  <c:v>685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7710848"/>
        <c:axId val="117712384"/>
      </c:barChart>
      <c:catAx>
        <c:axId val="117710848"/>
        <c:scaling>
          <c:orientation val="minMax"/>
        </c:scaling>
        <c:axPos val="b"/>
        <c:tickLblPos val="nextTo"/>
        <c:crossAx val="117712384"/>
        <c:crosses val="autoZero"/>
        <c:auto val="1"/>
        <c:lblAlgn val="ctr"/>
        <c:lblOffset val="100"/>
      </c:catAx>
      <c:valAx>
        <c:axId val="117712384"/>
        <c:scaling>
          <c:orientation val="minMax"/>
        </c:scaling>
        <c:axPos val="l"/>
        <c:numFmt formatCode="General" sourceLinked="1"/>
        <c:tickLblPos val="nextTo"/>
        <c:crossAx val="1177108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6301315841362927E-2"/>
          <c:y val="7.4548702245552642E-2"/>
          <c:w val="0.88348542408826558"/>
          <c:h val="0.65931181063933331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Диаграммы!$CN$30</c:f>
              <c:strCache>
                <c:ptCount val="1"/>
                <c:pt idx="0">
                  <c:v>Умышленные убийства</c:v>
                </c:pt>
              </c:strCache>
            </c:strRef>
          </c:tx>
          <c:dLbls>
            <c:showVal val="1"/>
          </c:dLbls>
          <c:val>
            <c:numRef>
              <c:f>Диаграммы!$CP$30:$DA$30</c:f>
              <c:numCache>
                <c:formatCode>General</c:formatCode>
                <c:ptCount val="12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Диаграммы!$CN$32</c:f>
              <c:strCache>
                <c:ptCount val="1"/>
                <c:pt idx="0">
                  <c:v>Умышленное причинение тяжкого вреда здоровью</c:v>
                </c:pt>
              </c:strCache>
            </c:strRef>
          </c:tx>
          <c:dLbls>
            <c:showVal val="1"/>
          </c:dLbls>
          <c:val>
            <c:numRef>
              <c:f>Диаграммы!$CP$32:$DA$32</c:f>
              <c:numCache>
                <c:formatCode>General</c:formatCode>
                <c:ptCount val="12"/>
                <c:pt idx="0">
                  <c:v>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Диаграммы!$CN$36</c:f>
              <c:strCache>
                <c:ptCount val="1"/>
                <c:pt idx="0">
                  <c:v>Изнасилование</c:v>
                </c:pt>
              </c:strCache>
            </c:strRef>
          </c:tx>
          <c:dLbls>
            <c:showVal val="1"/>
          </c:dLbls>
          <c:val>
            <c:numRef>
              <c:f>Диаграммы!$CP$36:$DA$36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17754496"/>
        <c:axId val="117764480"/>
      </c:barChart>
      <c:catAx>
        <c:axId val="117754496"/>
        <c:scaling>
          <c:orientation val="minMax"/>
        </c:scaling>
        <c:axPos val="b"/>
        <c:tickLblPos val="nextTo"/>
        <c:crossAx val="117764480"/>
        <c:crosses val="autoZero"/>
        <c:auto val="1"/>
        <c:lblAlgn val="ctr"/>
        <c:lblOffset val="100"/>
      </c:catAx>
      <c:valAx>
        <c:axId val="117764480"/>
        <c:scaling>
          <c:orientation val="minMax"/>
        </c:scaling>
        <c:axPos val="l"/>
        <c:majorGridlines/>
        <c:numFmt formatCode="General" sourceLinked="1"/>
        <c:tickLblPos val="nextTo"/>
        <c:crossAx val="1177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579958755157704"/>
          <c:w val="1"/>
          <c:h val="0.12945678665166854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9144881889763818E-2"/>
          <c:y val="9.5138205998263267E-2"/>
          <c:w val="0.92085514352442865"/>
          <c:h val="0.69435074238909966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Диаграммы!$CN$38</c:f>
              <c:strCache>
                <c:ptCount val="1"/>
                <c:pt idx="0">
                  <c:v>Кражи</c:v>
                </c:pt>
              </c:strCache>
            </c:strRef>
          </c:tx>
          <c:dLbls>
            <c:showVal val="1"/>
          </c:dLbls>
          <c:val>
            <c:numRef>
              <c:f>Диаграммы!$CP$38:$DA$38</c:f>
              <c:numCache>
                <c:formatCode>General</c:formatCode>
                <c:ptCount val="12"/>
                <c:pt idx="0">
                  <c:v>1368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Диаграммы!$CN$42</c:f>
              <c:strCache>
                <c:ptCount val="1"/>
                <c:pt idx="0">
                  <c:v>Грабежи</c:v>
                </c:pt>
              </c:strCache>
            </c:strRef>
          </c:tx>
          <c:dLbls>
            <c:showVal val="1"/>
          </c:dLbls>
          <c:val>
            <c:numRef>
              <c:f>Диаграммы!$CP$42:$DA$42</c:f>
              <c:numCache>
                <c:formatCode>General</c:formatCode>
                <c:ptCount val="12"/>
                <c:pt idx="0">
                  <c:v>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Диаграммы!$CN$44</c:f>
              <c:strCache>
                <c:ptCount val="1"/>
                <c:pt idx="0">
                  <c:v>Разбои</c:v>
                </c:pt>
              </c:strCache>
            </c:strRef>
          </c:tx>
          <c:dLbls>
            <c:dLblPos val="inBase"/>
            <c:showVal val="1"/>
          </c:dLbls>
          <c:val>
            <c:numRef>
              <c:f>Диаграммы!$CP$44:$DA$44</c:f>
              <c:numCache>
                <c:formatCode>General</c:formatCode>
                <c:ptCount val="12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17799168"/>
        <c:axId val="117821440"/>
      </c:barChart>
      <c:catAx>
        <c:axId val="117799168"/>
        <c:scaling>
          <c:orientation val="minMax"/>
        </c:scaling>
        <c:axPos val="b"/>
        <c:tickLblPos val="nextTo"/>
        <c:crossAx val="117821440"/>
        <c:crosses val="autoZero"/>
        <c:auto val="1"/>
        <c:lblAlgn val="ctr"/>
        <c:lblOffset val="100"/>
      </c:catAx>
      <c:valAx>
        <c:axId val="117821440"/>
        <c:scaling>
          <c:orientation val="minMax"/>
        </c:scaling>
        <c:axPos val="l"/>
        <c:majorGridlines/>
        <c:numFmt formatCode="General" sourceLinked="1"/>
        <c:tickLblPos val="nextTo"/>
        <c:crossAx val="11779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479889930288047"/>
          <c:y val="0.88352390733765296"/>
          <c:w val="0.34149847295799995"/>
          <c:h val="0.11647609266233025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ДТП со смертельным исходом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09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Диаграммы!$CP$48:$DA$48</c:f>
              <c:numCache>
                <c:formatCode>General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Диаграммы!$CP$49:$DA$49</c:f>
              <c:numCache>
                <c:formatCode>General</c:formatCode>
                <c:ptCount val="12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7860224"/>
        <c:axId val="117861760"/>
      </c:barChart>
      <c:catAx>
        <c:axId val="117860224"/>
        <c:scaling>
          <c:orientation val="minMax"/>
        </c:scaling>
        <c:axPos val="b"/>
        <c:majorTickMark val="none"/>
        <c:tickLblPos val="nextTo"/>
        <c:crossAx val="117861760"/>
        <c:crosses val="autoZero"/>
        <c:auto val="1"/>
        <c:lblAlgn val="ctr"/>
        <c:lblOffset val="100"/>
      </c:catAx>
      <c:valAx>
        <c:axId val="11786176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178602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view3D>
      <c:rotX val="30"/>
      <c:perspective val="30"/>
    </c:view3D>
    <c:plotArea>
      <c:layout>
        <c:manualLayout>
          <c:layoutTarget val="inner"/>
          <c:xMode val="edge"/>
          <c:yMode val="edge"/>
          <c:x val="0.38634349574856502"/>
          <c:y val="0.22618593112756091"/>
          <c:w val="0.50911461067366581"/>
          <c:h val="0.48463728189338778"/>
        </c:manualLayout>
      </c:layout>
      <c:pie3DChart>
        <c:varyColors val="1"/>
        <c:ser>
          <c:idx val="0"/>
          <c:order val="0"/>
          <c:explosion val="25"/>
          <c:dPt>
            <c:idx val="3"/>
            <c:explosion val="2"/>
          </c:dPt>
          <c:dPt>
            <c:idx val="11"/>
            <c:explosion val="29"/>
          </c:dPt>
          <c:dLbls>
            <c:dLbl>
              <c:idx val="6"/>
              <c:layout>
                <c:manualLayout>
                  <c:x val="-0.16599308836395454"/>
                  <c:y val="-0.17500629001399609"/>
                </c:manualLayout>
              </c:layout>
              <c:showVal val="1"/>
              <c:showCatName val="1"/>
              <c:showPercent val="1"/>
            </c:dLbl>
            <c:dLbl>
              <c:idx val="8"/>
              <c:layout>
                <c:manualLayout>
                  <c:x val="-0.12128381452318462"/>
                  <c:y val="6.2638885620696166E-2"/>
                </c:manualLayout>
              </c:layout>
              <c:showVal val="1"/>
              <c:showCatName val="1"/>
              <c:showPercent val="1"/>
            </c:dLbl>
            <c:dLbl>
              <c:idx val="10"/>
              <c:layout>
                <c:manualLayout>
                  <c:x val="-0.35179337142120065"/>
                  <c:y val="9.5993343655265768E-4"/>
                </c:manualLayout>
              </c:layout>
              <c:showVal val="1"/>
              <c:showCatName val="1"/>
              <c:showPercent val="1"/>
            </c:dLbl>
            <c:showVal val="1"/>
            <c:showCatName val="1"/>
            <c:showPercent val="1"/>
            <c:showLeaderLines val="1"/>
          </c:dLbls>
          <c:cat>
            <c:strRef>
              <c:f>Диаграммы!$BY$114:$BY$125</c:f>
              <c:strCache>
                <c:ptCount val="12"/>
                <c:pt idx="0">
                  <c:v>Убийства</c:v>
                </c:pt>
                <c:pt idx="1">
                  <c:v>Причинение тяжкого вреда здор.  </c:v>
                </c:pt>
                <c:pt idx="2">
                  <c:v>Изнасилование</c:v>
                </c:pt>
                <c:pt idx="3">
                  <c:v>Кражи</c:v>
                </c:pt>
                <c:pt idx="4">
                  <c:v>Грабежи</c:v>
                </c:pt>
                <c:pt idx="5">
                  <c:v>Разбои</c:v>
                </c:pt>
                <c:pt idx="6">
                  <c:v>Хулиганство</c:v>
                </c:pt>
                <c:pt idx="7">
                  <c:v>ДТП со смертельным исходом</c:v>
                </c:pt>
                <c:pt idx="8">
                  <c:v>Преступления, связанные с НОН</c:v>
                </c:pt>
                <c:pt idx="9">
                  <c:v>Поджоги</c:v>
                </c:pt>
                <c:pt idx="10">
                  <c:v>Экономические   </c:v>
                </c:pt>
                <c:pt idx="11">
                  <c:v>Иные преступления</c:v>
                </c:pt>
              </c:strCache>
            </c:strRef>
          </c:cat>
          <c:val>
            <c:numRef>
              <c:f>Диаграммы!$BZ$114:$BZ$125</c:f>
              <c:numCache>
                <c:formatCode>General</c:formatCode>
                <c:ptCount val="12"/>
                <c:pt idx="0">
                  <c:v>27</c:v>
                </c:pt>
                <c:pt idx="1">
                  <c:v>66</c:v>
                </c:pt>
                <c:pt idx="2">
                  <c:v>2</c:v>
                </c:pt>
                <c:pt idx="3">
                  <c:v>1421</c:v>
                </c:pt>
                <c:pt idx="4">
                  <c:v>84</c:v>
                </c:pt>
                <c:pt idx="5">
                  <c:v>16</c:v>
                </c:pt>
                <c:pt idx="6">
                  <c:v>0</c:v>
                </c:pt>
                <c:pt idx="7">
                  <c:v>15</c:v>
                </c:pt>
                <c:pt idx="8">
                  <c:v>300</c:v>
                </c:pt>
                <c:pt idx="9">
                  <c:v>17</c:v>
                </c:pt>
                <c:pt idx="10">
                  <c:v>129</c:v>
                </c:pt>
                <c:pt idx="11">
                  <c:v>1488</c:v>
                </c:pt>
              </c:numCache>
            </c:numRef>
          </c:val>
        </c:ser>
        <c:dLbls>
          <c:showVal val="1"/>
          <c:showCatName val="1"/>
        </c:dLbls>
      </c:pie3DChart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/>
              <a:t>Удельный вес категорий преступлений от числа зарегистрированных</a:t>
            </a:r>
          </a:p>
        </c:rich>
      </c:tx>
      <c:layout>
        <c:manualLayout>
          <c:xMode val="edge"/>
          <c:yMode val="edge"/>
          <c:x val="0.14221107933647911"/>
          <c:y val="1.3888888888889265E-2"/>
        </c:manualLayout>
      </c:layout>
    </c:title>
    <c:plotArea>
      <c:layout>
        <c:manualLayout>
          <c:layoutTarget val="inner"/>
          <c:xMode val="edge"/>
          <c:yMode val="edge"/>
          <c:x val="0.1110024679750852"/>
          <c:y val="0.20797462817147871"/>
          <c:w val="0.58935245034669159"/>
          <c:h val="0.64165099154272465"/>
        </c:manualLayout>
      </c:layout>
      <c:barChart>
        <c:barDir val="col"/>
        <c:grouping val="clustered"/>
        <c:ser>
          <c:idx val="0"/>
          <c:order val="0"/>
          <c:tx>
            <c:strRef>
              <c:f>Диаграммы!$CN$71</c:f>
              <c:strCache>
                <c:ptCount val="1"/>
                <c:pt idx="0">
                  <c:v>В общественных местах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Диаграммы!$CO$72:$CZ$72</c:f>
              <c:numCache>
                <c:formatCode>0.00%</c:formatCode>
                <c:ptCount val="12"/>
                <c:pt idx="0">
                  <c:v>0.32009080590238365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Диаграммы!$CN$73</c:f>
              <c:strCache>
                <c:ptCount val="1"/>
                <c:pt idx="0">
                  <c:v>в т.ч. на улицах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Диаграммы!$CO$74:$CZ$74</c:f>
              <c:numCache>
                <c:formatCode>0.00%</c:formatCode>
                <c:ptCount val="12"/>
                <c:pt idx="0">
                  <c:v>0.19920544835414303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7887744"/>
        <c:axId val="117889280"/>
      </c:barChart>
      <c:catAx>
        <c:axId val="117887744"/>
        <c:scaling>
          <c:orientation val="minMax"/>
        </c:scaling>
        <c:axPos val="b"/>
        <c:majorTickMark val="none"/>
        <c:tickLblPos val="nextTo"/>
        <c:crossAx val="117889280"/>
        <c:crosses val="autoZero"/>
        <c:auto val="1"/>
        <c:lblAlgn val="ctr"/>
        <c:lblOffset val="100"/>
      </c:catAx>
      <c:valAx>
        <c:axId val="117889280"/>
        <c:scaling>
          <c:orientation val="minMax"/>
        </c:scaling>
        <c:axPos val="l"/>
        <c:majorGridlines/>
        <c:numFmt formatCode="0.00%" sourceLinked="1"/>
        <c:majorTickMark val="none"/>
        <c:tickLblPos val="nextTo"/>
        <c:crossAx val="1178877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экономических преступлений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099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Диаграммы!$CP$56:$DA$56</c:f>
              <c:numCache>
                <c:formatCode>General</c:formatCode>
                <c:ptCount val="12"/>
                <c:pt idx="0">
                  <c:v>158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Диаграммы!$CP$57:$DA$57</c:f>
              <c:numCache>
                <c:formatCode>General</c:formatCode>
                <c:ptCount val="12"/>
                <c:pt idx="0">
                  <c:v>129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1724288"/>
        <c:axId val="121758848"/>
      </c:barChart>
      <c:catAx>
        <c:axId val="121724288"/>
        <c:scaling>
          <c:orientation val="minMax"/>
        </c:scaling>
        <c:axPos val="b"/>
        <c:majorTickMark val="none"/>
        <c:tickLblPos val="nextTo"/>
        <c:crossAx val="121758848"/>
        <c:crosses val="autoZero"/>
        <c:auto val="1"/>
        <c:lblAlgn val="ctr"/>
        <c:lblOffset val="100"/>
      </c:catAx>
      <c:valAx>
        <c:axId val="12175884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17242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преступлений связанных со взятками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099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Диаграммы!$CP$54:$DA$54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Диаграммы!$CP$55:$DA$55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3882112"/>
        <c:axId val="123888000"/>
      </c:barChart>
      <c:catAx>
        <c:axId val="123882112"/>
        <c:scaling>
          <c:orientation val="minMax"/>
        </c:scaling>
        <c:axPos val="b"/>
        <c:majorTickMark val="none"/>
        <c:tickLblPos val="nextTo"/>
        <c:crossAx val="123888000"/>
        <c:crosses val="autoZero"/>
        <c:auto val="1"/>
        <c:lblAlgn val="ctr"/>
        <c:lblOffset val="100"/>
      </c:catAx>
      <c:valAx>
        <c:axId val="12388800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38821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Всего расследовано преступлений (помесячно)</a:t>
            </a:r>
          </a:p>
        </c:rich>
      </c:tx>
      <c:layout>
        <c:manualLayout>
          <c:xMode val="edge"/>
          <c:yMode val="edge"/>
          <c:x val="5.5069991251095159E-3"/>
          <c:y val="9.2592592592595953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Диаграммы!$BH$49:$BS$49</c:f>
              <c:numCache>
                <c:formatCode>General</c:formatCode>
                <c:ptCount val="12"/>
                <c:pt idx="0">
                  <c:v>1886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Диаграммы!$BH$50:$BS$50</c:f>
              <c:numCache>
                <c:formatCode>General</c:formatCode>
                <c:ptCount val="12"/>
                <c:pt idx="0">
                  <c:v>1790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3917824"/>
        <c:axId val="123919360"/>
      </c:barChart>
      <c:catAx>
        <c:axId val="123917824"/>
        <c:scaling>
          <c:orientation val="minMax"/>
        </c:scaling>
        <c:axPos val="b"/>
        <c:majorTickMark val="none"/>
        <c:tickLblPos val="nextTo"/>
        <c:crossAx val="123919360"/>
        <c:crosses val="autoZero"/>
        <c:auto val="1"/>
        <c:lblAlgn val="ctr"/>
        <c:lblOffset val="100"/>
      </c:catAx>
      <c:valAx>
        <c:axId val="12391936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39178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тяжких и особо тяжких (помесячно)</a:t>
            </a:r>
          </a:p>
        </c:rich>
      </c:tx>
      <c:layout>
        <c:manualLayout>
          <c:xMode val="edge"/>
          <c:yMode val="edge"/>
          <c:x val="5.5069991251095194E-3"/>
          <c:y val="9.2592592592596022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Диаграммы!$BH$51:$BS$51</c:f>
              <c:numCache>
                <c:formatCode>General</c:formatCode>
                <c:ptCount val="12"/>
                <c:pt idx="0">
                  <c:v>432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Диаграммы!$BH$52:$BS$52</c:f>
              <c:numCache>
                <c:formatCode>General</c:formatCode>
                <c:ptCount val="12"/>
                <c:pt idx="0">
                  <c:v>309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5095936"/>
        <c:axId val="125097472"/>
      </c:barChart>
      <c:catAx>
        <c:axId val="125095936"/>
        <c:scaling>
          <c:orientation val="minMax"/>
        </c:scaling>
        <c:axPos val="b"/>
        <c:majorTickMark val="none"/>
        <c:tickLblPos val="nextTo"/>
        <c:crossAx val="125097472"/>
        <c:crosses val="autoZero"/>
        <c:auto val="1"/>
        <c:lblAlgn val="ctr"/>
        <c:lblOffset val="100"/>
      </c:catAx>
      <c:valAx>
        <c:axId val="12509747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50959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экономических преступлений (помесячно)</a:t>
            </a:r>
          </a:p>
        </c:rich>
      </c:tx>
      <c:layout>
        <c:manualLayout>
          <c:xMode val="edge"/>
          <c:yMode val="edge"/>
          <c:x val="5.506999125109522E-3"/>
          <c:y val="9.2592592592596092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Диаграммы!$BH$65:$BS$65</c:f>
              <c:numCache>
                <c:formatCode>General</c:formatCode>
                <c:ptCount val="12"/>
                <c:pt idx="0">
                  <c:v>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Диаграммы!$BH$66:$BS$66</c:f>
              <c:numCache>
                <c:formatCode>General</c:formatCode>
                <c:ptCount val="12"/>
                <c:pt idx="0">
                  <c:v>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5119104"/>
        <c:axId val="125120896"/>
      </c:barChart>
      <c:catAx>
        <c:axId val="125119104"/>
        <c:scaling>
          <c:orientation val="minMax"/>
        </c:scaling>
        <c:axPos val="b"/>
        <c:majorTickMark val="none"/>
        <c:tickLblPos val="nextTo"/>
        <c:crossAx val="125120896"/>
        <c:crosses val="autoZero"/>
        <c:auto val="1"/>
        <c:lblAlgn val="ctr"/>
        <c:lblOffset val="100"/>
      </c:catAx>
      <c:valAx>
        <c:axId val="12512089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51191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краж (помесячно)</a:t>
            </a:r>
          </a:p>
        </c:rich>
      </c:tx>
      <c:layout>
        <c:manualLayout>
          <c:xMode val="edge"/>
          <c:yMode val="edge"/>
          <c:x val="5.506999125109522E-3"/>
          <c:y val="9.2592592592596092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Диаграммы!$BH$61:$BS$61</c:f>
              <c:numCache>
                <c:formatCode>General</c:formatCode>
                <c:ptCount val="12"/>
                <c:pt idx="0">
                  <c:v>521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Диаграммы!$BH$62:$BS$62</c:f>
              <c:numCache>
                <c:formatCode>General</c:formatCode>
                <c:ptCount val="12"/>
                <c:pt idx="0">
                  <c:v>570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5163008"/>
        <c:axId val="125164544"/>
      </c:barChart>
      <c:catAx>
        <c:axId val="125163008"/>
        <c:scaling>
          <c:orientation val="minMax"/>
        </c:scaling>
        <c:axPos val="b"/>
        <c:majorTickMark val="none"/>
        <c:tickLblPos val="nextTo"/>
        <c:crossAx val="125164544"/>
        <c:crosses val="autoZero"/>
        <c:auto val="1"/>
        <c:lblAlgn val="ctr"/>
        <c:lblOffset val="100"/>
      </c:catAx>
      <c:valAx>
        <c:axId val="12516454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51630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грабежей</a:t>
            </a:r>
            <a:r>
              <a:rPr lang="ru-RU" sz="1100" b="0" baseline="0"/>
              <a:t> </a:t>
            </a:r>
            <a:r>
              <a:rPr lang="ru-RU" sz="1100" b="0"/>
              <a:t>(помесячно)</a:t>
            </a:r>
          </a:p>
        </c:rich>
      </c:tx>
      <c:layout>
        <c:manualLayout>
          <c:xMode val="edge"/>
          <c:yMode val="edge"/>
          <c:x val="5.506999125109522E-3"/>
          <c:y val="9.2592592592596092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Диаграммы!$BH$59:$BS$59</c:f>
              <c:numCache>
                <c:formatCode>General</c:formatCode>
                <c:ptCount val="12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Диаграммы!$BH$60:$BS$60</c:f>
              <c:numCache>
                <c:formatCode>General</c:formatCode>
                <c:ptCount val="12"/>
                <c:pt idx="0">
                  <c:v>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7312256"/>
        <c:axId val="127313792"/>
      </c:barChart>
      <c:catAx>
        <c:axId val="127312256"/>
        <c:scaling>
          <c:orientation val="minMax"/>
        </c:scaling>
        <c:axPos val="b"/>
        <c:majorTickMark val="none"/>
        <c:tickLblPos val="nextTo"/>
        <c:crossAx val="127313792"/>
        <c:crosses val="autoZero"/>
        <c:auto val="1"/>
        <c:lblAlgn val="ctr"/>
        <c:lblOffset val="100"/>
      </c:catAx>
      <c:valAx>
        <c:axId val="12731379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73122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Диаграммы!$BW$3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dLbls>
            <c:showVal val="1"/>
          </c:dLbls>
          <c:cat>
            <c:strRef>
              <c:f>Диаграммы!$BV$4:$BV$8</c:f>
              <c:strCache>
                <c:ptCount val="5"/>
                <c:pt idx="0">
                  <c:v>В группе</c:v>
                </c:pt>
                <c:pt idx="1">
                  <c:v>В состоянии алкогольного опьянения</c:v>
                </c:pt>
                <c:pt idx="2">
                  <c:v>Ранее совершавшими преступления  </c:v>
                </c:pt>
                <c:pt idx="3">
                  <c:v> Лицами, не имеющими постоянного источника дохода  </c:v>
                </c:pt>
                <c:pt idx="4">
                  <c:v>Несовершеннолетними</c:v>
                </c:pt>
              </c:strCache>
            </c:strRef>
          </c:cat>
          <c:val>
            <c:numRef>
              <c:f>Диаграммы!$BW$4:$BW$8</c:f>
              <c:numCache>
                <c:formatCode>0.0%</c:formatCode>
                <c:ptCount val="5"/>
                <c:pt idx="0">
                  <c:v>9.5970307529162246E-2</c:v>
                </c:pt>
                <c:pt idx="1">
                  <c:v>0.41410392364793214</c:v>
                </c:pt>
                <c:pt idx="2">
                  <c:v>0.62142099681866381</c:v>
                </c:pt>
                <c:pt idx="3">
                  <c:v>0.58271474019088021</c:v>
                </c:pt>
                <c:pt idx="4">
                  <c:v>4.2948038176033931E-2</c:v>
                </c:pt>
              </c:numCache>
            </c:numRef>
          </c:val>
        </c:ser>
        <c:ser>
          <c:idx val="1"/>
          <c:order val="1"/>
          <c:tx>
            <c:strRef>
              <c:f>Диаграммы!$BX$3</c:f>
              <c:strCache>
                <c:ptCount val="1"/>
                <c:pt idx="0">
                  <c:v>2019</c:v>
                </c:pt>
              </c:strCache>
            </c:strRef>
          </c:tx>
          <c:dLbls>
            <c:showVal val="1"/>
          </c:dLbls>
          <c:cat>
            <c:strRef>
              <c:f>Диаграммы!$BV$4:$BV$8</c:f>
              <c:strCache>
                <c:ptCount val="5"/>
                <c:pt idx="0">
                  <c:v>В группе</c:v>
                </c:pt>
                <c:pt idx="1">
                  <c:v>В состоянии алкогольного опьянения</c:v>
                </c:pt>
                <c:pt idx="2">
                  <c:v>Ранее совершавшими преступления  </c:v>
                </c:pt>
                <c:pt idx="3">
                  <c:v> Лицами, не имеющими постоянного источника дохода  </c:v>
                </c:pt>
                <c:pt idx="4">
                  <c:v>Несовершеннолетними</c:v>
                </c:pt>
              </c:strCache>
            </c:strRef>
          </c:cat>
          <c:val>
            <c:numRef>
              <c:f>Диаграммы!$BX$4:$BX$8</c:f>
              <c:numCache>
                <c:formatCode>0.0%</c:formatCode>
                <c:ptCount val="5"/>
                <c:pt idx="0">
                  <c:v>7.6536312849162014E-2</c:v>
                </c:pt>
                <c:pt idx="1">
                  <c:v>0.36145251396648043</c:v>
                </c:pt>
                <c:pt idx="2">
                  <c:v>0.58271474019088021</c:v>
                </c:pt>
                <c:pt idx="3">
                  <c:v>0.5977653631284916</c:v>
                </c:pt>
                <c:pt idx="4">
                  <c:v>4.6927374301675977E-2</c:v>
                </c:pt>
              </c:numCache>
            </c:numRef>
          </c:val>
        </c:ser>
        <c:shape val="box"/>
        <c:axId val="109494656"/>
        <c:axId val="109496192"/>
        <c:axId val="0"/>
      </c:bar3DChart>
      <c:catAx>
        <c:axId val="109494656"/>
        <c:scaling>
          <c:orientation val="minMax"/>
        </c:scaling>
        <c:axPos val="l"/>
        <c:tickLblPos val="nextTo"/>
        <c:crossAx val="109496192"/>
        <c:crosses val="autoZero"/>
        <c:auto val="1"/>
        <c:lblAlgn val="ctr"/>
        <c:lblOffset val="100"/>
      </c:catAx>
      <c:valAx>
        <c:axId val="109496192"/>
        <c:scaling>
          <c:orientation val="minMax"/>
        </c:scaling>
        <c:axPos val="b"/>
        <c:majorGridlines/>
        <c:numFmt formatCode="0.0%" sourceLinked="1"/>
        <c:tickLblPos val="nextTo"/>
        <c:crossAx val="1094946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Диаграммы!$BW$3</c:f>
              <c:strCache>
                <c:ptCount val="1"/>
                <c:pt idx="0">
                  <c:v>2018</c:v>
                </c:pt>
              </c:strCache>
            </c:strRef>
          </c:tx>
          <c:dLbls>
            <c:showVal val="1"/>
          </c:dLbls>
          <c:cat>
            <c:strRef>
              <c:f>(Диаграммы!$BV$10,Диаграммы!$BV$13:$BV$14)</c:f>
              <c:strCache>
                <c:ptCount val="3"/>
                <c:pt idx="0">
                  <c:v>Экономических</c:v>
                </c:pt>
                <c:pt idx="1">
                  <c:v>С применением оружия  </c:v>
                </c:pt>
                <c:pt idx="2">
                  <c:v>Тяжких и особо тяжких</c:v>
                </c:pt>
              </c:strCache>
            </c:strRef>
          </c:cat>
          <c:val>
            <c:numRef>
              <c:f>(Диаграммы!$BW$10,Диаграммы!$BW$13:$BW$14)</c:f>
              <c:numCache>
                <c:formatCode>0.0%</c:formatCode>
                <c:ptCount val="3"/>
                <c:pt idx="0">
                  <c:v>4.2417815482502653E-2</c:v>
                </c:pt>
                <c:pt idx="1">
                  <c:v>2.6511134676564158E-3</c:v>
                </c:pt>
                <c:pt idx="2">
                  <c:v>0.22905620360551432</c:v>
                </c:pt>
              </c:numCache>
            </c:numRef>
          </c:val>
        </c:ser>
        <c:ser>
          <c:idx val="3"/>
          <c:order val="1"/>
          <c:tx>
            <c:strRef>
              <c:f>Диаграммы!$BX$3</c:f>
              <c:strCache>
                <c:ptCount val="1"/>
                <c:pt idx="0">
                  <c:v>2019</c:v>
                </c:pt>
              </c:strCache>
            </c:strRef>
          </c:tx>
          <c:dLbls>
            <c:showVal val="1"/>
          </c:dLbls>
          <c:cat>
            <c:strRef>
              <c:f>(Диаграммы!$BV$10,Диаграммы!$BV$13:$BV$14)</c:f>
              <c:strCache>
                <c:ptCount val="3"/>
                <c:pt idx="0">
                  <c:v>Экономических</c:v>
                </c:pt>
                <c:pt idx="1">
                  <c:v>С применением оружия  </c:v>
                </c:pt>
                <c:pt idx="2">
                  <c:v>Тяжких и особо тяжких</c:v>
                </c:pt>
              </c:strCache>
            </c:strRef>
          </c:cat>
          <c:val>
            <c:numRef>
              <c:f>(Диаграммы!$BX$10,Диаграммы!$BX$13:$BX$14)</c:f>
              <c:numCache>
                <c:formatCode>0.0%</c:formatCode>
                <c:ptCount val="3"/>
                <c:pt idx="0">
                  <c:v>2.6815642458100558E-2</c:v>
                </c:pt>
                <c:pt idx="1">
                  <c:v>5.0279329608938546E-3</c:v>
                </c:pt>
                <c:pt idx="2">
                  <c:v>0.17262569832402236</c:v>
                </c:pt>
              </c:numCache>
            </c:numRef>
          </c:val>
        </c:ser>
        <c:shape val="cylinder"/>
        <c:axId val="109530112"/>
        <c:axId val="109544192"/>
        <c:axId val="0"/>
      </c:bar3DChart>
      <c:catAx>
        <c:axId val="109530112"/>
        <c:scaling>
          <c:orientation val="minMax"/>
        </c:scaling>
        <c:axPos val="l"/>
        <c:tickLblPos val="nextTo"/>
        <c:crossAx val="109544192"/>
        <c:crosses val="autoZero"/>
        <c:auto val="1"/>
        <c:lblAlgn val="ctr"/>
        <c:lblOffset val="100"/>
      </c:catAx>
      <c:valAx>
        <c:axId val="109544192"/>
        <c:scaling>
          <c:orientation val="minMax"/>
        </c:scaling>
        <c:axPos val="b"/>
        <c:majorGridlines/>
        <c:numFmt formatCode="0.0%" sourceLinked="1"/>
        <c:tickLblPos val="nextTo"/>
        <c:crossAx val="1095301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Диаграммы!$BG$15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Диаграммы!$BH$31:$BS$31</c:f>
              <c:strCache>
                <c:ptCount val="12"/>
                <c:pt idx="0">
                  <c:v>d</c:v>
                </c:pt>
                <c:pt idx="1">
                  <c:v>e</c:v>
                </c:pt>
                <c:pt idx="2">
                  <c:v>f</c:v>
                </c:pt>
                <c:pt idx="3">
                  <c:v>g</c:v>
                </c:pt>
                <c:pt idx="4">
                  <c:v>h</c:v>
                </c:pt>
                <c:pt idx="5">
                  <c:v>i</c:v>
                </c:pt>
                <c:pt idx="6">
                  <c:v>j</c:v>
                </c:pt>
                <c:pt idx="7">
                  <c:v>k</c:v>
                </c:pt>
                <c:pt idx="8">
                  <c:v>l</c:v>
                </c:pt>
                <c:pt idx="9">
                  <c:v>m</c:v>
                </c:pt>
                <c:pt idx="10">
                  <c:v>n</c:v>
                </c:pt>
                <c:pt idx="11">
                  <c:v>o</c:v>
                </c:pt>
              </c:strCache>
            </c:strRef>
          </c:cat>
          <c:val>
            <c:numRef>
              <c:f>Диаграммы!$BH$15:$BS$15</c:f>
              <c:numCache>
                <c:formatCode>0.0%</c:formatCode>
                <c:ptCount val="12"/>
                <c:pt idx="0">
                  <c:v>0.53978248425872921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Диаграммы!$BG$16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cat>
            <c:strRef>
              <c:f>Диаграммы!$BH$31:$BS$31</c:f>
              <c:strCache>
                <c:ptCount val="12"/>
                <c:pt idx="0">
                  <c:v>d</c:v>
                </c:pt>
                <c:pt idx="1">
                  <c:v>e</c:v>
                </c:pt>
                <c:pt idx="2">
                  <c:v>f</c:v>
                </c:pt>
                <c:pt idx="3">
                  <c:v>g</c:v>
                </c:pt>
                <c:pt idx="4">
                  <c:v>h</c:v>
                </c:pt>
                <c:pt idx="5">
                  <c:v>i</c:v>
                </c:pt>
                <c:pt idx="6">
                  <c:v>j</c:v>
                </c:pt>
                <c:pt idx="7">
                  <c:v>k</c:v>
                </c:pt>
                <c:pt idx="8">
                  <c:v>l</c:v>
                </c:pt>
                <c:pt idx="9">
                  <c:v>m</c:v>
                </c:pt>
                <c:pt idx="10">
                  <c:v>n</c:v>
                </c:pt>
                <c:pt idx="11">
                  <c:v>o</c:v>
                </c:pt>
              </c:strCache>
            </c:strRef>
          </c:cat>
          <c:val>
            <c:numRef>
              <c:f>Диаграммы!$BH$16:$BS$16</c:f>
              <c:numCache>
                <c:formatCode>0.0%</c:formatCode>
                <c:ptCount val="12"/>
                <c:pt idx="0">
                  <c:v>0.55178791615289768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09857408"/>
        <c:axId val="109867392"/>
      </c:barChart>
      <c:catAx>
        <c:axId val="109857408"/>
        <c:scaling>
          <c:orientation val="minMax"/>
        </c:scaling>
        <c:delete val="1"/>
        <c:axPos val="b"/>
        <c:majorTickMark val="none"/>
        <c:tickLblPos val="none"/>
        <c:crossAx val="109867392"/>
        <c:crosses val="autoZero"/>
        <c:auto val="1"/>
        <c:lblAlgn val="ctr"/>
        <c:lblOffset val="100"/>
      </c:catAx>
      <c:valAx>
        <c:axId val="10986739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98574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Диаграммы!$BG$17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Диаграммы!$BH$17:$BS$17</c:f>
              <c:numCache>
                <c:formatCode>0.0%</c:formatCode>
                <c:ptCount val="12"/>
                <c:pt idx="0">
                  <c:v>0.61538461538461542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Диаграммы!$BG$18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Диаграммы!$BH$18:$BS$18</c:f>
              <c:numCache>
                <c:formatCode>0.0%</c:formatCode>
                <c:ptCount val="12"/>
                <c:pt idx="0">
                  <c:v>0.50407830342577487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09892736"/>
        <c:axId val="109894272"/>
      </c:barChart>
      <c:catAx>
        <c:axId val="109892736"/>
        <c:scaling>
          <c:orientation val="minMax"/>
        </c:scaling>
        <c:delete val="1"/>
        <c:axPos val="b"/>
        <c:tickLblPos val="none"/>
        <c:crossAx val="109894272"/>
        <c:crosses val="autoZero"/>
        <c:auto val="1"/>
        <c:lblAlgn val="ctr"/>
        <c:lblOffset val="100"/>
      </c:catAx>
      <c:valAx>
        <c:axId val="109894272"/>
        <c:scaling>
          <c:orientation val="minMax"/>
        </c:scaling>
        <c:axPos val="l"/>
        <c:majorGridlines/>
        <c:numFmt formatCode="0.0%" sourceLinked="1"/>
        <c:tickLblPos val="nextTo"/>
        <c:crossAx val="1098927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Диаграммы!$BG$19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Диаграммы!$BH$19:$BS$19</c:f>
              <c:numCache>
                <c:formatCode>0.0%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Диаграммы!$BG$20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Диаграммы!$BH$20:$BS$20</c:f>
              <c:numCache>
                <c:formatCode>0.0%</c:formatCode>
                <c:ptCount val="12"/>
                <c:pt idx="0">
                  <c:v>0.95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5891584"/>
        <c:axId val="115897472"/>
      </c:barChart>
      <c:catAx>
        <c:axId val="115891584"/>
        <c:scaling>
          <c:orientation val="minMax"/>
        </c:scaling>
        <c:delete val="1"/>
        <c:axPos val="b"/>
        <c:tickLblPos val="none"/>
        <c:crossAx val="115897472"/>
        <c:crosses val="autoZero"/>
        <c:auto val="1"/>
        <c:lblAlgn val="ctr"/>
        <c:lblOffset val="100"/>
      </c:catAx>
      <c:valAx>
        <c:axId val="115897472"/>
        <c:scaling>
          <c:orientation val="minMax"/>
        </c:scaling>
        <c:axPos val="l"/>
        <c:majorGridlines/>
        <c:numFmt formatCode="0.0%" sourceLinked="1"/>
        <c:tickLblPos val="nextTo"/>
        <c:crossAx val="1158915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Диаграммы!$BG$22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Диаграммы!$BH$21:$BS$21</c:f>
              <c:numCache>
                <c:formatCode>0.0%</c:formatCode>
                <c:ptCount val="12"/>
                <c:pt idx="0">
                  <c:v>0.9538461538461539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Диаграммы!$BG$22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Диаграммы!$BH$22:$BS$22</c:f>
              <c:numCache>
                <c:formatCode>0.0%</c:formatCode>
                <c:ptCount val="12"/>
                <c:pt idx="0">
                  <c:v>0.83333333333333337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6467584"/>
        <c:axId val="116469120"/>
      </c:barChart>
      <c:catAx>
        <c:axId val="116467584"/>
        <c:scaling>
          <c:orientation val="minMax"/>
        </c:scaling>
        <c:delete val="1"/>
        <c:axPos val="b"/>
        <c:tickLblPos val="none"/>
        <c:crossAx val="116469120"/>
        <c:crosses val="autoZero"/>
        <c:auto val="1"/>
        <c:lblAlgn val="ctr"/>
        <c:lblOffset val="100"/>
      </c:catAx>
      <c:valAx>
        <c:axId val="116469120"/>
        <c:scaling>
          <c:orientation val="minMax"/>
        </c:scaling>
        <c:axPos val="l"/>
        <c:majorGridlines/>
        <c:numFmt formatCode="0.0%" sourceLinked="1"/>
        <c:tickLblPos val="nextTo"/>
        <c:crossAx val="1164675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Диаграммы!$BG$25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Диаграммы!$BH$25:$BS$25</c:f>
              <c:numCache>
                <c:formatCode>0.0%</c:formatCode>
                <c:ptCount val="12"/>
                <c:pt idx="0">
                  <c:v>0.61176470588235299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Диаграммы!$BG$26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Диаграммы!$BH$26:$BS$26</c:f>
              <c:numCache>
                <c:formatCode>0.0%</c:formatCode>
                <c:ptCount val="12"/>
                <c:pt idx="0">
                  <c:v>0.67142857142857137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6502912"/>
        <c:axId val="116504448"/>
      </c:barChart>
      <c:catAx>
        <c:axId val="116502912"/>
        <c:scaling>
          <c:orientation val="minMax"/>
        </c:scaling>
        <c:delete val="1"/>
        <c:axPos val="b"/>
        <c:tickLblPos val="none"/>
        <c:crossAx val="116504448"/>
        <c:crosses val="autoZero"/>
        <c:auto val="1"/>
        <c:lblAlgn val="ctr"/>
        <c:lblOffset val="100"/>
      </c:catAx>
      <c:valAx>
        <c:axId val="116504448"/>
        <c:scaling>
          <c:orientation val="minMax"/>
        </c:scaling>
        <c:axPos val="l"/>
        <c:majorGridlines/>
        <c:numFmt formatCode="0.0%" sourceLinked="1"/>
        <c:tickLblPos val="nextTo"/>
        <c:crossAx val="1165029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</xdr:colOff>
      <xdr:row>56</xdr:row>
      <xdr:rowOff>13609</xdr:rowOff>
    </xdr:from>
    <xdr:to>
      <xdr:col>6</xdr:col>
      <xdr:colOff>590431</xdr:colOff>
      <xdr:row>68</xdr:row>
      <xdr:rowOff>190500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6</xdr:row>
      <xdr:rowOff>38929</xdr:rowOff>
    </xdr:from>
    <xdr:to>
      <xdr:col>6</xdr:col>
      <xdr:colOff>581025</xdr:colOff>
      <xdr:row>22</xdr:row>
      <xdr:rowOff>190500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24357</xdr:colOff>
      <xdr:row>56</xdr:row>
      <xdr:rowOff>201757</xdr:rowOff>
    </xdr:from>
    <xdr:to>
      <xdr:col>24</xdr:col>
      <xdr:colOff>588819</xdr:colOff>
      <xdr:row>72</xdr:row>
      <xdr:rowOff>42428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26063</xdr:colOff>
      <xdr:row>75</xdr:row>
      <xdr:rowOff>7793</xdr:rowOff>
    </xdr:from>
    <xdr:to>
      <xdr:col>24</xdr:col>
      <xdr:colOff>589280</xdr:colOff>
      <xdr:row>91</xdr:row>
      <xdr:rowOff>108073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12700</xdr:colOff>
      <xdr:row>5</xdr:row>
      <xdr:rowOff>3175</xdr:rowOff>
    </xdr:from>
    <xdr:to>
      <xdr:col>24</xdr:col>
      <xdr:colOff>585788</xdr:colOff>
      <xdr:row>10</xdr:row>
      <xdr:rowOff>190500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6349</xdr:colOff>
      <xdr:row>11</xdr:row>
      <xdr:rowOff>196850</xdr:rowOff>
    </xdr:from>
    <xdr:to>
      <xdr:col>24</xdr:col>
      <xdr:colOff>577849</xdr:colOff>
      <xdr:row>17</xdr:row>
      <xdr:rowOff>180975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18143</xdr:colOff>
      <xdr:row>19</xdr:row>
      <xdr:rowOff>9073</xdr:rowOff>
    </xdr:from>
    <xdr:to>
      <xdr:col>24</xdr:col>
      <xdr:colOff>580572</xdr:colOff>
      <xdr:row>24</xdr:row>
      <xdr:rowOff>199571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18144</xdr:colOff>
      <xdr:row>26</xdr:row>
      <xdr:rowOff>9071</xdr:rowOff>
    </xdr:from>
    <xdr:to>
      <xdr:col>24</xdr:col>
      <xdr:colOff>589643</xdr:colOff>
      <xdr:row>32</xdr:row>
      <xdr:rowOff>18142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27215</xdr:colOff>
      <xdr:row>33</xdr:row>
      <xdr:rowOff>9070</xdr:rowOff>
    </xdr:from>
    <xdr:to>
      <xdr:col>24</xdr:col>
      <xdr:colOff>580572</xdr:colOff>
      <xdr:row>39</xdr:row>
      <xdr:rowOff>9072</xdr:rowOff>
    </xdr:to>
    <xdr:graphicFrame macro="">
      <xdr:nvGraphicFramePr>
        <xdr:cNvPr id="22" name="Диаграмма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18142</xdr:colOff>
      <xdr:row>40</xdr:row>
      <xdr:rowOff>1</xdr:rowOff>
    </xdr:from>
    <xdr:to>
      <xdr:col>24</xdr:col>
      <xdr:colOff>589642</xdr:colOff>
      <xdr:row>46</xdr:row>
      <xdr:rowOff>9072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18142</xdr:colOff>
      <xdr:row>47</xdr:row>
      <xdr:rowOff>0</xdr:rowOff>
    </xdr:from>
    <xdr:to>
      <xdr:col>24</xdr:col>
      <xdr:colOff>598715</xdr:colOff>
      <xdr:row>53</xdr:row>
      <xdr:rowOff>163286</xdr:rowOff>
    </xdr:to>
    <xdr:graphicFrame macro="">
      <xdr:nvGraphicFramePr>
        <xdr:cNvPr id="24" name="Диаграмма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9523</xdr:colOff>
      <xdr:row>69</xdr:row>
      <xdr:rowOff>200024</xdr:rowOff>
    </xdr:from>
    <xdr:to>
      <xdr:col>6</xdr:col>
      <xdr:colOff>571498</xdr:colOff>
      <xdr:row>79</xdr:row>
      <xdr:rowOff>0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608241</xdr:colOff>
      <xdr:row>4</xdr:row>
      <xdr:rowOff>13606</xdr:rowOff>
    </xdr:from>
    <xdr:to>
      <xdr:col>15</xdr:col>
      <xdr:colOff>895351</xdr:colOff>
      <xdr:row>14</xdr:row>
      <xdr:rowOff>21771</xdr:rowOff>
    </xdr:to>
    <xdr:graphicFrame macro="">
      <xdr:nvGraphicFramePr>
        <xdr:cNvPr id="25" name="Диаграмма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13607</xdr:colOff>
      <xdr:row>89</xdr:row>
      <xdr:rowOff>171452</xdr:rowOff>
    </xdr:from>
    <xdr:to>
      <xdr:col>6</xdr:col>
      <xdr:colOff>585106</xdr:colOff>
      <xdr:row>98</xdr:row>
      <xdr:rowOff>28575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13607</xdr:colOff>
      <xdr:row>24</xdr:row>
      <xdr:rowOff>13607</xdr:rowOff>
    </xdr:from>
    <xdr:to>
      <xdr:col>6</xdr:col>
      <xdr:colOff>557893</xdr:colOff>
      <xdr:row>38</xdr:row>
      <xdr:rowOff>190499</xdr:rowOff>
    </xdr:to>
    <xdr:graphicFrame macro="">
      <xdr:nvGraphicFramePr>
        <xdr:cNvPr id="26" name="Диаграмма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13606</xdr:colOff>
      <xdr:row>40</xdr:row>
      <xdr:rowOff>40821</xdr:rowOff>
    </xdr:from>
    <xdr:to>
      <xdr:col>6</xdr:col>
      <xdr:colOff>557891</xdr:colOff>
      <xdr:row>53</xdr:row>
      <xdr:rowOff>163286</xdr:rowOff>
    </xdr:to>
    <xdr:graphicFrame macro="">
      <xdr:nvGraphicFramePr>
        <xdr:cNvPr id="27" name="Диаграмма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28575</xdr:colOff>
      <xdr:row>79</xdr:row>
      <xdr:rowOff>200024</xdr:rowOff>
    </xdr:from>
    <xdr:to>
      <xdr:col>6</xdr:col>
      <xdr:colOff>590550</xdr:colOff>
      <xdr:row>89</xdr:row>
      <xdr:rowOff>171449</xdr:rowOff>
    </xdr:to>
    <xdr:graphicFrame macro="">
      <xdr:nvGraphicFramePr>
        <xdr:cNvPr id="28" name="Диаграмма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15</xdr:row>
      <xdr:rowOff>9525</xdr:rowOff>
    </xdr:from>
    <xdr:to>
      <xdr:col>15</xdr:col>
      <xdr:colOff>906235</xdr:colOff>
      <xdr:row>24</xdr:row>
      <xdr:rowOff>208190</xdr:rowOff>
    </xdr:to>
    <xdr:graphicFrame macro="">
      <xdr:nvGraphicFramePr>
        <xdr:cNvPr id="29" name="Диаграмма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19050</xdr:colOff>
      <xdr:row>98</xdr:row>
      <xdr:rowOff>28575</xdr:rowOff>
    </xdr:from>
    <xdr:to>
      <xdr:col>6</xdr:col>
      <xdr:colOff>590549</xdr:colOff>
      <xdr:row>105</xdr:row>
      <xdr:rowOff>200024</xdr:rowOff>
    </xdr:to>
    <xdr:graphicFrame macro="">
      <xdr:nvGraphicFramePr>
        <xdr:cNvPr id="30" name="Диаграмма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28574</xdr:colOff>
      <xdr:row>41</xdr:row>
      <xdr:rowOff>9525</xdr:rowOff>
    </xdr:from>
    <xdr:to>
      <xdr:col>15</xdr:col>
      <xdr:colOff>895349</xdr:colOff>
      <xdr:row>53</xdr:row>
      <xdr:rowOff>161924</xdr:rowOff>
    </xdr:to>
    <xdr:graphicFrame macro="">
      <xdr:nvGraphicFramePr>
        <xdr:cNvPr id="31" name="Диаграмма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19050</xdr:colOff>
      <xdr:row>25</xdr:row>
      <xdr:rowOff>9525</xdr:rowOff>
    </xdr:from>
    <xdr:to>
      <xdr:col>15</xdr:col>
      <xdr:colOff>895350</xdr:colOff>
      <xdr:row>32</xdr:row>
      <xdr:rowOff>180974</xdr:rowOff>
    </xdr:to>
    <xdr:graphicFrame macro="">
      <xdr:nvGraphicFramePr>
        <xdr:cNvPr id="32" name="Диаграмма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19049</xdr:colOff>
      <xdr:row>33</xdr:row>
      <xdr:rowOff>19050</xdr:rowOff>
    </xdr:from>
    <xdr:to>
      <xdr:col>15</xdr:col>
      <xdr:colOff>904874</xdr:colOff>
      <xdr:row>40</xdr:row>
      <xdr:rowOff>190499</xdr:rowOff>
    </xdr:to>
    <xdr:graphicFrame macro="">
      <xdr:nvGraphicFramePr>
        <xdr:cNvPr id="33" name="Диаграмма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19050</xdr:colOff>
      <xdr:row>56</xdr:row>
      <xdr:rowOff>1</xdr:rowOff>
    </xdr:from>
    <xdr:to>
      <xdr:col>15</xdr:col>
      <xdr:colOff>914400</xdr:colOff>
      <xdr:row>65</xdr:row>
      <xdr:rowOff>190500</xdr:rowOff>
    </xdr:to>
    <xdr:graphicFrame macro="">
      <xdr:nvGraphicFramePr>
        <xdr:cNvPr id="34" name="Диаграмма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19050</xdr:colOff>
      <xdr:row>65</xdr:row>
      <xdr:rowOff>190500</xdr:rowOff>
    </xdr:from>
    <xdr:to>
      <xdr:col>15</xdr:col>
      <xdr:colOff>914400</xdr:colOff>
      <xdr:row>75</xdr:row>
      <xdr:rowOff>180975</xdr:rowOff>
    </xdr:to>
    <xdr:graphicFrame macro="">
      <xdr:nvGraphicFramePr>
        <xdr:cNvPr id="35" name="Диаграмма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75</xdr:row>
      <xdr:rowOff>152400</xdr:rowOff>
    </xdr:from>
    <xdr:to>
      <xdr:col>15</xdr:col>
      <xdr:colOff>914400</xdr:colOff>
      <xdr:row>85</xdr:row>
      <xdr:rowOff>180975</xdr:rowOff>
    </xdr:to>
    <xdr:graphicFrame macro="">
      <xdr:nvGraphicFramePr>
        <xdr:cNvPr id="37" name="Диаграмма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19050</xdr:colOff>
      <xdr:row>85</xdr:row>
      <xdr:rowOff>171450</xdr:rowOff>
    </xdr:from>
    <xdr:to>
      <xdr:col>15</xdr:col>
      <xdr:colOff>914400</xdr:colOff>
      <xdr:row>96</xdr:row>
      <xdr:rowOff>38100</xdr:rowOff>
    </xdr:to>
    <xdr:graphicFrame macro="">
      <xdr:nvGraphicFramePr>
        <xdr:cNvPr id="38" name="Диаграмма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19050</xdr:colOff>
      <xdr:row>95</xdr:row>
      <xdr:rowOff>190500</xdr:rowOff>
    </xdr:from>
    <xdr:to>
      <xdr:col>15</xdr:col>
      <xdr:colOff>914400</xdr:colOff>
      <xdr:row>105</xdr:row>
      <xdr:rowOff>180975</xdr:rowOff>
    </xdr:to>
    <xdr:graphicFrame macro="">
      <xdr:nvGraphicFramePr>
        <xdr:cNvPr id="39" name="Диаграмма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O168"/>
  <sheetViews>
    <sheetView tabSelected="1" view="pageBreakPreview" zoomScale="85" zoomScaleSheetLayoutView="85" workbookViewId="0">
      <selection activeCell="F2" sqref="F2"/>
    </sheetView>
  </sheetViews>
  <sheetFormatPr defaultRowHeight="15"/>
  <cols>
    <col min="1" max="1" width="34.7109375" customWidth="1"/>
    <col min="2" max="2" width="5.85546875" customWidth="1"/>
    <col min="6" max="6" width="9.28515625" bestFit="1" customWidth="1"/>
    <col min="16" max="16" width="13.85546875" customWidth="1"/>
    <col min="58" max="58" width="17.85546875" customWidth="1"/>
    <col min="67" max="67" width="10.28515625" bestFit="1" customWidth="1"/>
    <col min="74" max="74" width="36.42578125" customWidth="1"/>
    <col min="77" max="77" width="63.140625" customWidth="1"/>
    <col min="79" max="79" width="10.28515625" bestFit="1" customWidth="1"/>
    <col min="92" max="92" width="60.5703125" customWidth="1"/>
    <col min="106" max="106" width="21.42578125" customWidth="1"/>
  </cols>
  <sheetData>
    <row r="1" spans="1:95" s="1" customFormat="1">
      <c r="A1" s="70" t="s">
        <v>265</v>
      </c>
      <c r="B1" s="71"/>
      <c r="BD1" s="108"/>
      <c r="BE1" s="108"/>
      <c r="BF1" s="108">
        <v>1</v>
      </c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10" t="s">
        <v>355</v>
      </c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</row>
    <row r="2" spans="1:95" ht="15.75">
      <c r="A2" t="s">
        <v>116</v>
      </c>
      <c r="B2" s="78">
        <f>VLOOKUP(A2,Справочник!B1:C63,2,FALSE)</f>
        <v>400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14" t="s">
        <v>356</v>
      </c>
      <c r="BZ2" s="80">
        <f ca="1">IF(CL2&lt;&gt;0,CL2,IF(CK2&lt;&gt;0,CK2,IF(CJ2&lt;&gt;0,CJ2,IF(CI2&lt;&gt;0,CI2,IF(CH2&lt;&gt;0,CH2,IF(CG2&lt;&gt;0,CG2,IF(CF2&lt;&gt;0,CF2,IF(CE2&lt;&gt;0,CE2,IF(CD2&lt;&gt;0,CD2,IF(CC2&lt;&gt;0,CC2,IF(CB2&lt;&gt;0,CB2,IF(CA2&lt;&gt;0,CA2,0))))))))))))</f>
        <v>1886</v>
      </c>
      <c r="CA2" s="115">
        <f ca="1">CA58</f>
        <v>1886</v>
      </c>
      <c r="CB2" s="115">
        <f t="shared" ref="CB2:CL2" ca="1" si="0">CB58</f>
        <v>0</v>
      </c>
      <c r="CC2" s="115">
        <f t="shared" ca="1" si="0"/>
        <v>0</v>
      </c>
      <c r="CD2" s="115">
        <f t="shared" ca="1" si="0"/>
        <v>0</v>
      </c>
      <c r="CE2" s="115">
        <f t="shared" ca="1" si="0"/>
        <v>0</v>
      </c>
      <c r="CF2" s="115">
        <f t="shared" ca="1" si="0"/>
        <v>0</v>
      </c>
      <c r="CG2" s="115">
        <f t="shared" ca="1" si="0"/>
        <v>0</v>
      </c>
      <c r="CH2" s="115">
        <f t="shared" ca="1" si="0"/>
        <v>0</v>
      </c>
      <c r="CI2" s="115">
        <f t="shared" ca="1" si="0"/>
        <v>0</v>
      </c>
      <c r="CJ2" s="115">
        <f t="shared" ca="1" si="0"/>
        <v>0</v>
      </c>
      <c r="CK2" s="115">
        <f t="shared" ca="1" si="0"/>
        <v>0</v>
      </c>
      <c r="CL2" s="115">
        <f t="shared" ca="1" si="0"/>
        <v>0</v>
      </c>
      <c r="CM2" s="115"/>
      <c r="CN2" s="115"/>
      <c r="CO2" s="115"/>
      <c r="CP2" s="115"/>
      <c r="CQ2" s="108"/>
    </row>
    <row r="3" spans="1:95" ht="16.5">
      <c r="A3" s="164" t="str">
        <f>A2</f>
        <v>Красноярский край</v>
      </c>
      <c r="B3" s="72"/>
      <c r="C3" s="169"/>
      <c r="D3" s="334"/>
      <c r="E3" s="334"/>
      <c r="F3" s="170"/>
      <c r="G3" s="76" t="s">
        <v>341</v>
      </c>
      <c r="H3" s="145" t="str">
        <f>A3</f>
        <v>Красноярский край</v>
      </c>
      <c r="P3" s="76" t="s">
        <v>382</v>
      </c>
      <c r="Q3" s="145" t="str">
        <f>A3</f>
        <v>Красноярский край</v>
      </c>
      <c r="R3" s="1"/>
      <c r="S3" s="1"/>
      <c r="T3" s="1"/>
      <c r="U3" s="1"/>
      <c r="V3" s="1"/>
      <c r="W3" s="1"/>
      <c r="X3" s="1"/>
      <c r="Y3" s="76" t="s">
        <v>506</v>
      </c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>
        <f>BZ26</f>
        <v>2018</v>
      </c>
      <c r="BX3" s="108">
        <f>BZ27</f>
        <v>2019</v>
      </c>
      <c r="BY3" s="108"/>
      <c r="BZ3" s="80">
        <f t="shared" ref="BZ3:BZ23" ca="1" si="1">IF(CL3&lt;&gt;0,CL3,IF(CK3&lt;&gt;0,CK3,IF(CJ3&lt;&gt;0,CJ3,IF(CI3&lt;&gt;0,CI3,IF(CH3&lt;&gt;0,CH3,IF(CG3&lt;&gt;0,CG3,IF(CF3&lt;&gt;0,CF3,IF(CE3&lt;&gt;0,CE3,IF(CD3&lt;&gt;0,CD3,IF(CC3&lt;&gt;0,CC3,IF(CB3&lt;&gt;0,CB3,IF(CA3&lt;&gt;0,CA3,0))))))))))))</f>
        <v>1790</v>
      </c>
      <c r="CA3" s="115">
        <f ca="1">CA59</f>
        <v>1790</v>
      </c>
      <c r="CB3" s="115">
        <f t="shared" ref="CB3:CL3" ca="1" si="2">CB59</f>
        <v>0</v>
      </c>
      <c r="CC3" s="115">
        <f t="shared" ca="1" si="2"/>
        <v>0</v>
      </c>
      <c r="CD3" s="115">
        <f t="shared" ca="1" si="2"/>
        <v>0</v>
      </c>
      <c r="CE3" s="115">
        <f t="shared" ca="1" si="2"/>
        <v>0</v>
      </c>
      <c r="CF3" s="115">
        <f t="shared" ca="1" si="2"/>
        <v>0</v>
      </c>
      <c r="CG3" s="115">
        <f t="shared" ca="1" si="2"/>
        <v>0</v>
      </c>
      <c r="CH3" s="115">
        <f t="shared" ca="1" si="2"/>
        <v>0</v>
      </c>
      <c r="CI3" s="115">
        <f t="shared" ca="1" si="2"/>
        <v>0</v>
      </c>
      <c r="CJ3" s="115">
        <f t="shared" ca="1" si="2"/>
        <v>0</v>
      </c>
      <c r="CK3" s="115">
        <f t="shared" ca="1" si="2"/>
        <v>0</v>
      </c>
      <c r="CL3" s="115">
        <f t="shared" ca="1" si="2"/>
        <v>0</v>
      </c>
      <c r="CM3" s="115"/>
      <c r="CN3" s="115"/>
      <c r="CO3" s="115"/>
      <c r="CP3" s="115"/>
      <c r="CQ3" s="108"/>
    </row>
    <row r="4" spans="1:95" ht="15.75" customHeight="1">
      <c r="A4" s="165"/>
      <c r="B4" s="165"/>
      <c r="C4" s="169" t="s">
        <v>511</v>
      </c>
      <c r="D4" s="174">
        <f>VLOOKUP(A2,Справочник!B1:D63,3,FALSE)</f>
        <v>2852</v>
      </c>
      <c r="E4" s="170" t="s">
        <v>512</v>
      </c>
      <c r="F4" s="170"/>
      <c r="G4" s="166"/>
      <c r="H4" s="191" t="s">
        <v>527</v>
      </c>
      <c r="I4" s="82"/>
      <c r="K4" s="83"/>
      <c r="L4" s="86"/>
      <c r="M4" s="84"/>
      <c r="N4" s="193">
        <f>Справочник!J1</f>
        <v>2019</v>
      </c>
      <c r="O4" s="192" t="s">
        <v>526</v>
      </c>
      <c r="P4" s="151"/>
      <c r="Q4" s="333" t="s">
        <v>380</v>
      </c>
      <c r="R4" s="333"/>
      <c r="S4" s="333"/>
      <c r="T4" s="333"/>
      <c r="U4" s="333"/>
      <c r="V4" s="333"/>
      <c r="W4" s="333"/>
      <c r="X4" s="333"/>
      <c r="Y4" s="333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16" t="s">
        <v>357</v>
      </c>
      <c r="BW4" s="109">
        <f ca="1">BZ4</f>
        <v>9.5970307529162246E-2</v>
      </c>
      <c r="BX4" s="109">
        <f ca="1">BZ5</f>
        <v>7.6536312849162014E-2</v>
      </c>
      <c r="BY4" s="116" t="s">
        <v>357</v>
      </c>
      <c r="BZ4" s="81">
        <f t="shared" ca="1" si="1"/>
        <v>9.5970307529162246E-2</v>
      </c>
      <c r="CA4" s="117">
        <f t="shared" ref="CA4:CL4" ca="1" si="3">IFERROR(CA66/CA2,0)</f>
        <v>9.5970307529162246E-2</v>
      </c>
      <c r="CB4" s="117">
        <f t="shared" ca="1" si="3"/>
        <v>0</v>
      </c>
      <c r="CC4" s="117">
        <f t="shared" ca="1" si="3"/>
        <v>0</v>
      </c>
      <c r="CD4" s="117">
        <f t="shared" ca="1" si="3"/>
        <v>0</v>
      </c>
      <c r="CE4" s="117">
        <f t="shared" ca="1" si="3"/>
        <v>0</v>
      </c>
      <c r="CF4" s="117">
        <f t="shared" ca="1" si="3"/>
        <v>0</v>
      </c>
      <c r="CG4" s="117">
        <f t="shared" ca="1" si="3"/>
        <v>0</v>
      </c>
      <c r="CH4" s="117">
        <f t="shared" ca="1" si="3"/>
        <v>0</v>
      </c>
      <c r="CI4" s="117">
        <f t="shared" ca="1" si="3"/>
        <v>0</v>
      </c>
      <c r="CJ4" s="117">
        <f t="shared" ca="1" si="3"/>
        <v>0</v>
      </c>
      <c r="CK4" s="117">
        <f t="shared" ca="1" si="3"/>
        <v>0</v>
      </c>
      <c r="CL4" s="117">
        <f t="shared" ca="1" si="3"/>
        <v>0</v>
      </c>
      <c r="CM4" s="115"/>
      <c r="CN4" s="115"/>
      <c r="CO4" s="115"/>
      <c r="CP4" s="115"/>
      <c r="CQ4" s="108"/>
    </row>
    <row r="5" spans="1:95" ht="15.75">
      <c r="A5" s="165" t="s">
        <v>510</v>
      </c>
      <c r="B5" s="165"/>
      <c r="C5" s="171" t="str">
        <f>CONCATENATE(BZ26," г. -")</f>
        <v>2018 г. -</v>
      </c>
      <c r="D5" s="172">
        <f ca="1">CM85</f>
        <v>3524</v>
      </c>
      <c r="E5" s="171" t="str">
        <f>CONCATENATE(BZ27," г. -")</f>
        <v>2019 г. -</v>
      </c>
      <c r="F5" s="172">
        <f ca="1">CM87</f>
        <v>3565</v>
      </c>
      <c r="G5" s="173">
        <f ca="1">IFERROR(F5/D5*100-100,IF(F5&gt;0,100,0))/100</f>
        <v>1.1634506242905757E-2</v>
      </c>
      <c r="H5" s="333"/>
      <c r="I5" s="333"/>
      <c r="J5" s="333"/>
      <c r="K5" s="333"/>
      <c r="L5" s="333"/>
      <c r="M5" s="333"/>
      <c r="N5" s="333"/>
      <c r="O5" s="333"/>
      <c r="P5" s="333"/>
      <c r="Q5" s="113" t="s">
        <v>381</v>
      </c>
      <c r="R5" s="85"/>
      <c r="S5" s="85"/>
      <c r="T5" s="113"/>
      <c r="U5" s="152"/>
      <c r="V5" s="152" t="s">
        <v>525</v>
      </c>
      <c r="W5" s="113">
        <f ca="1">BG33</f>
        <v>1790</v>
      </c>
      <c r="X5" s="188" t="str">
        <f ca="1">CONCATENATE("(",BG33-BG32,")")</f>
        <v>(-96)</v>
      </c>
      <c r="Y5" s="113"/>
      <c r="Z5" s="85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16" t="s">
        <v>358</v>
      </c>
      <c r="BW5" s="109">
        <f ca="1">BZ6</f>
        <v>0.41410392364793214</v>
      </c>
      <c r="BX5" s="109">
        <f ca="1">BZ7</f>
        <v>0.36145251396648043</v>
      </c>
      <c r="BY5" s="108"/>
      <c r="BZ5" s="81">
        <f t="shared" ca="1" si="1"/>
        <v>7.6536312849162014E-2</v>
      </c>
      <c r="CA5" s="117">
        <f t="shared" ref="CA5:CL5" ca="1" si="4">IFERROR(CA67/CA3,0)</f>
        <v>7.6536312849162014E-2</v>
      </c>
      <c r="CB5" s="117">
        <f t="shared" ca="1" si="4"/>
        <v>0</v>
      </c>
      <c r="CC5" s="117">
        <f t="shared" ca="1" si="4"/>
        <v>0</v>
      </c>
      <c r="CD5" s="117">
        <f t="shared" ca="1" si="4"/>
        <v>0</v>
      </c>
      <c r="CE5" s="117">
        <f t="shared" ca="1" si="4"/>
        <v>0</v>
      </c>
      <c r="CF5" s="117">
        <f t="shared" ca="1" si="4"/>
        <v>0</v>
      </c>
      <c r="CG5" s="117">
        <f t="shared" ca="1" si="4"/>
        <v>0</v>
      </c>
      <c r="CH5" s="117">
        <f t="shared" ca="1" si="4"/>
        <v>0</v>
      </c>
      <c r="CI5" s="117">
        <f t="shared" ca="1" si="4"/>
        <v>0</v>
      </c>
      <c r="CJ5" s="117">
        <f t="shared" ca="1" si="4"/>
        <v>0</v>
      </c>
      <c r="CK5" s="117">
        <f t="shared" ca="1" si="4"/>
        <v>0</v>
      </c>
      <c r="CL5" s="117">
        <f t="shared" ca="1" si="4"/>
        <v>0</v>
      </c>
      <c r="CM5" s="115"/>
      <c r="CN5" s="115"/>
      <c r="CO5" s="115"/>
      <c r="CP5" s="115"/>
      <c r="CQ5" s="108"/>
    </row>
    <row r="6" spans="1:95" ht="15.75">
      <c r="A6" s="169"/>
      <c r="B6" s="175" t="s">
        <v>514</v>
      </c>
      <c r="C6" s="175" t="str">
        <f>C5</f>
        <v>2018 г. -</v>
      </c>
      <c r="D6" s="176">
        <f ca="1">D5/((D4/12)*BZ24)</f>
        <v>14.827489481065919</v>
      </c>
      <c r="E6" s="175" t="str">
        <f>E5</f>
        <v>2019 г. -</v>
      </c>
      <c r="F6" s="176">
        <f ca="1">F5/((D4/12)*BZ24)</f>
        <v>15</v>
      </c>
      <c r="G6" s="173"/>
      <c r="H6" s="333"/>
      <c r="I6" s="333"/>
      <c r="J6" s="333"/>
      <c r="K6" s="333"/>
      <c r="L6" s="333"/>
      <c r="M6" s="333"/>
      <c r="N6" s="333"/>
      <c r="O6" s="333"/>
      <c r="P6" s="333"/>
      <c r="R6" s="85"/>
      <c r="S6" s="85"/>
      <c r="T6" s="85"/>
      <c r="U6" s="85"/>
      <c r="V6" s="85"/>
      <c r="W6" s="85"/>
      <c r="X6" s="85"/>
      <c r="Y6" s="85"/>
      <c r="Z6" s="85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16" t="s">
        <v>359</v>
      </c>
      <c r="BW6" s="109">
        <f ca="1">BZ8</f>
        <v>0.62142099681866381</v>
      </c>
      <c r="BX6" s="109">
        <f ca="1">BZ10</f>
        <v>0.58271474019088021</v>
      </c>
      <c r="BY6" s="116" t="s">
        <v>358</v>
      </c>
      <c r="BZ6" s="81">
        <f t="shared" ca="1" si="1"/>
        <v>0.41410392364793214</v>
      </c>
      <c r="CA6" s="118">
        <f t="shared" ref="CA6:CL6" ca="1" si="5">IFERROR(CA62/CA2,0)</f>
        <v>0.41410392364793214</v>
      </c>
      <c r="CB6" s="118">
        <f t="shared" ca="1" si="5"/>
        <v>0</v>
      </c>
      <c r="CC6" s="118">
        <f t="shared" ca="1" si="5"/>
        <v>0</v>
      </c>
      <c r="CD6" s="118">
        <f t="shared" ca="1" si="5"/>
        <v>0</v>
      </c>
      <c r="CE6" s="118">
        <f t="shared" ca="1" si="5"/>
        <v>0</v>
      </c>
      <c r="CF6" s="118">
        <f t="shared" ca="1" si="5"/>
        <v>0</v>
      </c>
      <c r="CG6" s="118">
        <f t="shared" ca="1" si="5"/>
        <v>0</v>
      </c>
      <c r="CH6" s="118">
        <f t="shared" ca="1" si="5"/>
        <v>0</v>
      </c>
      <c r="CI6" s="118">
        <f t="shared" ca="1" si="5"/>
        <v>0</v>
      </c>
      <c r="CJ6" s="118">
        <f t="shared" ca="1" si="5"/>
        <v>0</v>
      </c>
      <c r="CK6" s="118">
        <f t="shared" ca="1" si="5"/>
        <v>0</v>
      </c>
      <c r="CL6" s="118">
        <f t="shared" ca="1" si="5"/>
        <v>0</v>
      </c>
      <c r="CM6" s="115"/>
      <c r="CN6" s="115"/>
      <c r="CO6" s="115"/>
      <c r="CP6" s="115"/>
      <c r="CQ6" s="108"/>
    </row>
    <row r="7" spans="1:95" ht="15.75">
      <c r="D7" s="1"/>
      <c r="V7" s="14"/>
      <c r="W7" s="14"/>
      <c r="X7" s="14"/>
      <c r="Y7" s="14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19" t="s">
        <v>360</v>
      </c>
      <c r="BW7" s="109">
        <f ca="1">BZ10</f>
        <v>0.58271474019088021</v>
      </c>
      <c r="BX7" s="109">
        <f ca="1">BZ11</f>
        <v>0.5977653631284916</v>
      </c>
      <c r="BY7" s="108"/>
      <c r="BZ7" s="81">
        <f t="shared" ca="1" si="1"/>
        <v>0.36145251396648043</v>
      </c>
      <c r="CA7" s="118">
        <f t="shared" ref="CA7:CL7" ca="1" si="6">IFERROR(CA63/CA3,0)</f>
        <v>0.36145251396648043</v>
      </c>
      <c r="CB7" s="118">
        <f t="shared" ca="1" si="6"/>
        <v>0</v>
      </c>
      <c r="CC7" s="118">
        <f t="shared" ca="1" si="6"/>
        <v>0</v>
      </c>
      <c r="CD7" s="118">
        <f t="shared" ca="1" si="6"/>
        <v>0</v>
      </c>
      <c r="CE7" s="118">
        <f t="shared" ca="1" si="6"/>
        <v>0</v>
      </c>
      <c r="CF7" s="118">
        <f t="shared" ca="1" si="6"/>
        <v>0</v>
      </c>
      <c r="CG7" s="118">
        <f t="shared" ca="1" si="6"/>
        <v>0</v>
      </c>
      <c r="CH7" s="118">
        <f t="shared" ca="1" si="6"/>
        <v>0</v>
      </c>
      <c r="CI7" s="118">
        <f t="shared" ca="1" si="6"/>
        <v>0</v>
      </c>
      <c r="CJ7" s="118">
        <f t="shared" ca="1" si="6"/>
        <v>0</v>
      </c>
      <c r="CK7" s="118">
        <f t="shared" ca="1" si="6"/>
        <v>0</v>
      </c>
      <c r="CL7" s="118">
        <f t="shared" ca="1" si="6"/>
        <v>0</v>
      </c>
      <c r="CM7" s="115"/>
      <c r="CN7" s="115"/>
      <c r="CO7" s="115"/>
      <c r="CP7" s="115"/>
      <c r="CQ7" s="108"/>
    </row>
    <row r="8" spans="1:95" ht="15.75">
      <c r="V8" s="14"/>
      <c r="W8" s="14"/>
      <c r="X8" s="14"/>
      <c r="Y8" s="14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16" t="s">
        <v>361</v>
      </c>
      <c r="BW8" s="109">
        <f ca="1">BZ12</f>
        <v>4.2948038176033931E-2</v>
      </c>
      <c r="BX8" s="109">
        <f ca="1">BZ13</f>
        <v>4.6927374301675977E-2</v>
      </c>
      <c r="BY8" s="116" t="s">
        <v>359</v>
      </c>
      <c r="BZ8" s="81">
        <f t="shared" ca="1" si="1"/>
        <v>0.62142099681866381</v>
      </c>
      <c r="CA8" s="118">
        <f t="shared" ref="CA8:CL8" ca="1" si="7">IFERROR(CA64/CA2,0)</f>
        <v>0.62142099681866381</v>
      </c>
      <c r="CB8" s="118">
        <f t="shared" ca="1" si="7"/>
        <v>0</v>
      </c>
      <c r="CC8" s="118">
        <f t="shared" ca="1" si="7"/>
        <v>0</v>
      </c>
      <c r="CD8" s="118">
        <f t="shared" ca="1" si="7"/>
        <v>0</v>
      </c>
      <c r="CE8" s="118">
        <f t="shared" ca="1" si="7"/>
        <v>0</v>
      </c>
      <c r="CF8" s="118">
        <f t="shared" ca="1" si="7"/>
        <v>0</v>
      </c>
      <c r="CG8" s="118">
        <f t="shared" ca="1" si="7"/>
        <v>0</v>
      </c>
      <c r="CH8" s="118">
        <f t="shared" ca="1" si="7"/>
        <v>0</v>
      </c>
      <c r="CI8" s="118">
        <f t="shared" ca="1" si="7"/>
        <v>0</v>
      </c>
      <c r="CJ8" s="118">
        <f t="shared" ca="1" si="7"/>
        <v>0</v>
      </c>
      <c r="CK8" s="118">
        <f t="shared" ca="1" si="7"/>
        <v>0</v>
      </c>
      <c r="CL8" s="118">
        <f t="shared" ca="1" si="7"/>
        <v>0</v>
      </c>
      <c r="CM8" s="115"/>
      <c r="CN8" s="115"/>
      <c r="CO8" s="115"/>
      <c r="CP8" s="115"/>
      <c r="CQ8" s="108"/>
    </row>
    <row r="9" spans="1:95" ht="15.75">
      <c r="V9" s="14"/>
      <c r="W9" s="14"/>
      <c r="X9" s="14"/>
      <c r="Y9" s="14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81">
        <f t="shared" ca="1" si="1"/>
        <v>0.64748603351955303</v>
      </c>
      <c r="CA9" s="118">
        <f t="shared" ref="CA9:CL9" ca="1" si="8">IFERROR(CA65/CA3,0)</f>
        <v>0.64748603351955303</v>
      </c>
      <c r="CB9" s="118">
        <f t="shared" ca="1" si="8"/>
        <v>0</v>
      </c>
      <c r="CC9" s="118">
        <f t="shared" ca="1" si="8"/>
        <v>0</v>
      </c>
      <c r="CD9" s="118">
        <f t="shared" ca="1" si="8"/>
        <v>0</v>
      </c>
      <c r="CE9" s="118">
        <f t="shared" ca="1" si="8"/>
        <v>0</v>
      </c>
      <c r="CF9" s="118">
        <f t="shared" ca="1" si="8"/>
        <v>0</v>
      </c>
      <c r="CG9" s="118">
        <f t="shared" ca="1" si="8"/>
        <v>0</v>
      </c>
      <c r="CH9" s="118">
        <f t="shared" ca="1" si="8"/>
        <v>0</v>
      </c>
      <c r="CI9" s="118">
        <f t="shared" ca="1" si="8"/>
        <v>0</v>
      </c>
      <c r="CJ9" s="118">
        <f t="shared" ca="1" si="8"/>
        <v>0</v>
      </c>
      <c r="CK9" s="118">
        <f t="shared" ca="1" si="8"/>
        <v>0</v>
      </c>
      <c r="CL9" s="118">
        <f t="shared" ca="1" si="8"/>
        <v>0</v>
      </c>
      <c r="CM9" s="115"/>
      <c r="CN9" s="115"/>
      <c r="CO9" s="115"/>
      <c r="CP9" s="115"/>
      <c r="CQ9" s="108"/>
    </row>
    <row r="10" spans="1:95" ht="15.75">
      <c r="V10" s="14"/>
      <c r="W10" s="14"/>
      <c r="X10" s="14"/>
      <c r="Y10" s="14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20" t="s">
        <v>366</v>
      </c>
      <c r="BW10" s="109">
        <f ca="1">BZ14</f>
        <v>4.2417815482502653E-2</v>
      </c>
      <c r="BX10" s="109">
        <f ca="1">BZ15</f>
        <v>2.6815642458100558E-2</v>
      </c>
      <c r="BY10" s="121" t="s">
        <v>360</v>
      </c>
      <c r="BZ10" s="81">
        <f t="shared" ca="1" si="1"/>
        <v>0.58271474019088021</v>
      </c>
      <c r="CA10" s="117">
        <f t="shared" ref="CA10:CL10" ca="1" si="9">IFERROR(CA70/CA2,0)</f>
        <v>0.58271474019088021</v>
      </c>
      <c r="CB10" s="117">
        <f t="shared" ca="1" si="9"/>
        <v>0</v>
      </c>
      <c r="CC10" s="117">
        <f t="shared" ca="1" si="9"/>
        <v>0</v>
      </c>
      <c r="CD10" s="117">
        <f t="shared" ca="1" si="9"/>
        <v>0</v>
      </c>
      <c r="CE10" s="117">
        <f t="shared" ca="1" si="9"/>
        <v>0</v>
      </c>
      <c r="CF10" s="117">
        <f t="shared" ca="1" si="9"/>
        <v>0</v>
      </c>
      <c r="CG10" s="117">
        <f t="shared" ca="1" si="9"/>
        <v>0</v>
      </c>
      <c r="CH10" s="117">
        <f t="shared" ca="1" si="9"/>
        <v>0</v>
      </c>
      <c r="CI10" s="117">
        <f t="shared" ca="1" si="9"/>
        <v>0</v>
      </c>
      <c r="CJ10" s="117">
        <f t="shared" ca="1" si="9"/>
        <v>0</v>
      </c>
      <c r="CK10" s="117">
        <f t="shared" ca="1" si="9"/>
        <v>0</v>
      </c>
      <c r="CL10" s="117">
        <f t="shared" ca="1" si="9"/>
        <v>0</v>
      </c>
      <c r="CM10" s="115"/>
      <c r="CN10" s="115"/>
      <c r="CO10" s="115"/>
      <c r="CP10" s="115"/>
      <c r="CQ10" s="108"/>
    </row>
    <row r="11" spans="1:95" ht="15.75">
      <c r="V11" s="14"/>
      <c r="W11" s="14"/>
      <c r="X11" s="14"/>
      <c r="Y11" s="14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35" t="s">
        <v>368</v>
      </c>
      <c r="BW11" s="109">
        <f ca="1">BZ16</f>
        <v>0.37221633085896078</v>
      </c>
      <c r="BX11" s="109">
        <f ca="1">BZ17</f>
        <v>0.376536312849162</v>
      </c>
      <c r="BY11" s="108"/>
      <c r="BZ11" s="81">
        <f t="shared" ca="1" si="1"/>
        <v>0.5977653631284916</v>
      </c>
      <c r="CA11" s="117">
        <f t="shared" ref="CA11:CL11" ca="1" si="10">IFERROR(CA71/CA3,0)</f>
        <v>0.5977653631284916</v>
      </c>
      <c r="CB11" s="117">
        <f t="shared" ca="1" si="10"/>
        <v>0</v>
      </c>
      <c r="CC11" s="117">
        <f t="shared" ca="1" si="10"/>
        <v>0</v>
      </c>
      <c r="CD11" s="117">
        <f t="shared" ca="1" si="10"/>
        <v>0</v>
      </c>
      <c r="CE11" s="117">
        <f t="shared" ca="1" si="10"/>
        <v>0</v>
      </c>
      <c r="CF11" s="117">
        <f t="shared" ca="1" si="10"/>
        <v>0</v>
      </c>
      <c r="CG11" s="117">
        <f t="shared" ca="1" si="10"/>
        <v>0</v>
      </c>
      <c r="CH11" s="117">
        <f t="shared" ca="1" si="10"/>
        <v>0</v>
      </c>
      <c r="CI11" s="117">
        <f t="shared" ca="1" si="10"/>
        <v>0</v>
      </c>
      <c r="CJ11" s="117">
        <f t="shared" ca="1" si="10"/>
        <v>0</v>
      </c>
      <c r="CK11" s="117">
        <f t="shared" ca="1" si="10"/>
        <v>0</v>
      </c>
      <c r="CL11" s="117">
        <f t="shared" ca="1" si="10"/>
        <v>0</v>
      </c>
      <c r="CM11" s="115"/>
      <c r="CN11" s="115"/>
      <c r="CO11" s="115"/>
      <c r="CP11" s="115"/>
      <c r="CQ11" s="108"/>
    </row>
    <row r="12" spans="1:95" ht="15.75">
      <c r="Q12" s="149" t="s">
        <v>383</v>
      </c>
      <c r="V12" s="152" t="s">
        <v>525</v>
      </c>
      <c r="W12" s="149">
        <f ca="1">BG35</f>
        <v>309</v>
      </c>
      <c r="X12" s="189" t="str">
        <f ca="1">CONCATENATE("(",BG35-BG34,")")</f>
        <v>(-123)</v>
      </c>
      <c r="Y12" s="14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35" t="s">
        <v>367</v>
      </c>
      <c r="BW12" s="109">
        <f ca="1">BZ18</f>
        <v>0.59809119830328739</v>
      </c>
      <c r="BX12" s="109">
        <f ca="1">BZ19</f>
        <v>0.62849162011173187</v>
      </c>
      <c r="BY12" s="116" t="s">
        <v>361</v>
      </c>
      <c r="BZ12" s="81">
        <f t="shared" ca="1" si="1"/>
        <v>4.2948038176033931E-2</v>
      </c>
      <c r="CA12" s="117">
        <f t="shared" ref="CA12:CL12" ca="1" si="11">IFERROR(CA60/CA2,0)</f>
        <v>4.2948038176033931E-2</v>
      </c>
      <c r="CB12" s="117">
        <f t="shared" ca="1" si="11"/>
        <v>0</v>
      </c>
      <c r="CC12" s="117">
        <f t="shared" ca="1" si="11"/>
        <v>0</v>
      </c>
      <c r="CD12" s="117">
        <f t="shared" ca="1" si="11"/>
        <v>0</v>
      </c>
      <c r="CE12" s="117">
        <f t="shared" ca="1" si="11"/>
        <v>0</v>
      </c>
      <c r="CF12" s="117">
        <f t="shared" ca="1" si="11"/>
        <v>0</v>
      </c>
      <c r="CG12" s="117">
        <f t="shared" ca="1" si="11"/>
        <v>0</v>
      </c>
      <c r="CH12" s="117">
        <f t="shared" ca="1" si="11"/>
        <v>0</v>
      </c>
      <c r="CI12" s="117">
        <f t="shared" ca="1" si="11"/>
        <v>0</v>
      </c>
      <c r="CJ12" s="117">
        <f t="shared" ca="1" si="11"/>
        <v>0</v>
      </c>
      <c r="CK12" s="117">
        <f t="shared" ca="1" si="11"/>
        <v>0</v>
      </c>
      <c r="CL12" s="117">
        <f t="shared" ca="1" si="11"/>
        <v>0</v>
      </c>
      <c r="CM12" s="115"/>
      <c r="CN12" s="115"/>
      <c r="CO12" s="115"/>
      <c r="CP12" s="115"/>
      <c r="CQ12" s="108"/>
    </row>
    <row r="13" spans="1:95" ht="15.75">
      <c r="V13" s="14"/>
      <c r="W13" s="14"/>
      <c r="X13" s="14"/>
      <c r="Y13" s="14"/>
      <c r="BD13" s="108"/>
      <c r="BE13" s="108"/>
      <c r="BF13" s="108" t="s">
        <v>377</v>
      </c>
      <c r="BG13" s="108"/>
      <c r="BH13" s="108"/>
      <c r="BI13" s="108" t="s">
        <v>379</v>
      </c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20" t="s">
        <v>369</v>
      </c>
      <c r="BW13" s="109">
        <f ca="1">BZ20</f>
        <v>2.6511134676564158E-3</v>
      </c>
      <c r="BX13" s="109">
        <f ca="1">BZ21</f>
        <v>5.0279329608938546E-3</v>
      </c>
      <c r="BY13" s="108"/>
      <c r="BZ13" s="81">
        <f t="shared" ca="1" si="1"/>
        <v>4.6927374301675977E-2</v>
      </c>
      <c r="CA13" s="117">
        <f t="shared" ref="CA13:CL13" ca="1" si="12">IFERROR(CA61/CA3,0)</f>
        <v>4.6927374301675977E-2</v>
      </c>
      <c r="CB13" s="117">
        <f t="shared" ca="1" si="12"/>
        <v>0</v>
      </c>
      <c r="CC13" s="117">
        <f t="shared" ca="1" si="12"/>
        <v>0</v>
      </c>
      <c r="CD13" s="117">
        <f t="shared" ca="1" si="12"/>
        <v>0</v>
      </c>
      <c r="CE13" s="117">
        <f t="shared" ca="1" si="12"/>
        <v>0</v>
      </c>
      <c r="CF13" s="117">
        <f t="shared" ca="1" si="12"/>
        <v>0</v>
      </c>
      <c r="CG13" s="117">
        <f t="shared" ca="1" si="12"/>
        <v>0</v>
      </c>
      <c r="CH13" s="117">
        <f t="shared" ca="1" si="12"/>
        <v>0</v>
      </c>
      <c r="CI13" s="117">
        <f t="shared" ca="1" si="12"/>
        <v>0</v>
      </c>
      <c r="CJ13" s="117">
        <f t="shared" ca="1" si="12"/>
        <v>0</v>
      </c>
      <c r="CK13" s="117">
        <f t="shared" ca="1" si="12"/>
        <v>0</v>
      </c>
      <c r="CL13" s="117">
        <f t="shared" ca="1" si="12"/>
        <v>0</v>
      </c>
      <c r="CM13" s="115"/>
      <c r="CN13" s="115"/>
      <c r="CO13" s="115"/>
      <c r="CP13" s="115"/>
      <c r="CQ13" s="108"/>
    </row>
    <row r="14" spans="1:95" ht="15.75">
      <c r="V14" s="14"/>
      <c r="W14" s="14"/>
      <c r="X14" s="14"/>
      <c r="Y14" s="14"/>
      <c r="BD14" s="108"/>
      <c r="BE14" s="108"/>
      <c r="BF14" s="122"/>
      <c r="BG14" s="123"/>
      <c r="BH14" s="124">
        <v>1</v>
      </c>
      <c r="BI14" s="124">
        <v>2</v>
      </c>
      <c r="BJ14" s="124">
        <v>3</v>
      </c>
      <c r="BK14" s="124">
        <v>4</v>
      </c>
      <c r="BL14" s="124">
        <v>5</v>
      </c>
      <c r="BM14" s="124">
        <v>6</v>
      </c>
      <c r="BN14" s="124">
        <v>7</v>
      </c>
      <c r="BO14" s="124">
        <v>8</v>
      </c>
      <c r="BP14" s="124">
        <v>9</v>
      </c>
      <c r="BQ14" s="124">
        <v>10</v>
      </c>
      <c r="BR14" s="124">
        <v>11</v>
      </c>
      <c r="BS14" s="124">
        <v>12</v>
      </c>
      <c r="BT14" s="108"/>
      <c r="BU14" s="108"/>
      <c r="BV14" s="120" t="s">
        <v>365</v>
      </c>
      <c r="BW14" s="109">
        <f ca="1">BZ22</f>
        <v>0.22905620360551432</v>
      </c>
      <c r="BX14" s="109">
        <f ca="1">BZ23</f>
        <v>0.17262569832402236</v>
      </c>
      <c r="BY14" s="120" t="s">
        <v>366</v>
      </c>
      <c r="BZ14" s="81">
        <f t="shared" ca="1" si="1"/>
        <v>4.2417815482502653E-2</v>
      </c>
      <c r="CA14" s="108">
        <f ca="1">IFERROR(CA80/CA2,0)</f>
        <v>4.2417815482502653E-2</v>
      </c>
      <c r="CB14" s="108">
        <f t="shared" ref="CB14:CL14" ca="1" si="13">IFERROR(CB80/CB2,0)</f>
        <v>0</v>
      </c>
      <c r="CC14" s="108">
        <f t="shared" ca="1" si="13"/>
        <v>0</v>
      </c>
      <c r="CD14" s="108">
        <f t="shared" ca="1" si="13"/>
        <v>0</v>
      </c>
      <c r="CE14" s="108">
        <f t="shared" ca="1" si="13"/>
        <v>0</v>
      </c>
      <c r="CF14" s="108">
        <f t="shared" ca="1" si="13"/>
        <v>0</v>
      </c>
      <c r="CG14" s="108">
        <f t="shared" ca="1" si="13"/>
        <v>0</v>
      </c>
      <c r="CH14" s="108">
        <f t="shared" ca="1" si="13"/>
        <v>0</v>
      </c>
      <c r="CI14" s="108">
        <f t="shared" ca="1" si="13"/>
        <v>0</v>
      </c>
      <c r="CJ14" s="108">
        <f t="shared" ca="1" si="13"/>
        <v>0</v>
      </c>
      <c r="CK14" s="108">
        <f t="shared" ca="1" si="13"/>
        <v>0</v>
      </c>
      <c r="CL14" s="108">
        <f t="shared" ca="1" si="13"/>
        <v>0</v>
      </c>
      <c r="CM14" s="108"/>
      <c r="CN14" s="108"/>
      <c r="CO14" s="108"/>
      <c r="CP14" s="108"/>
      <c r="CQ14" s="108"/>
    </row>
    <row r="15" spans="1:95" ht="16.5">
      <c r="H15" s="191" t="s">
        <v>527</v>
      </c>
      <c r="I15" s="82"/>
      <c r="J15" s="1"/>
      <c r="K15" s="83"/>
      <c r="L15" s="86"/>
      <c r="M15" s="84"/>
      <c r="N15" s="193">
        <f>Справочник!J2</f>
        <v>2018</v>
      </c>
      <c r="O15" s="192" t="s">
        <v>526</v>
      </c>
      <c r="V15" s="14"/>
      <c r="W15" s="14"/>
      <c r="X15" s="14"/>
      <c r="Y15" s="14"/>
      <c r="BD15" s="108"/>
      <c r="BE15" s="108">
        <v>63</v>
      </c>
      <c r="BF15" s="125" t="s">
        <v>118</v>
      </c>
      <c r="BG15" s="126">
        <f>Справочник!J2</f>
        <v>2018</v>
      </c>
      <c r="BH15" s="111">
        <f ca="1">INDIRECT("'"&amp;B2&amp;"'!D63")</f>
        <v>0.53978248425872921</v>
      </c>
      <c r="BI15" s="111">
        <f ca="1">INDIRECT("'"&amp;B2&amp;"'!e63")</f>
        <v>0</v>
      </c>
      <c r="BJ15" s="111">
        <f ca="1">INDIRECT("'"&amp;B2&amp;"'!f63")</f>
        <v>0</v>
      </c>
      <c r="BK15" s="111">
        <f ca="1">INDIRECT("'"&amp;B2&amp;"'!g63")</f>
        <v>0</v>
      </c>
      <c r="BL15" s="111">
        <f ca="1">INDIRECT("'"&amp;B2&amp;"'!h63")</f>
        <v>0</v>
      </c>
      <c r="BM15" s="111">
        <f ca="1">INDIRECT("'"&amp;B2&amp;"'!i63")</f>
        <v>0</v>
      </c>
      <c r="BN15" s="111">
        <f ca="1">INDIRECT("'"&amp;B2&amp;"'!j63")</f>
        <v>0</v>
      </c>
      <c r="BO15" s="111">
        <f ca="1">INDIRECT("'"&amp;B2&amp;"'!k63")</f>
        <v>0</v>
      </c>
      <c r="BP15" s="111">
        <f ca="1">INDIRECT("'"&amp;B2&amp;"'!l63")</f>
        <v>0</v>
      </c>
      <c r="BQ15" s="111">
        <f ca="1">INDIRECT("'"&amp;B2&amp;"'!m63")</f>
        <v>0</v>
      </c>
      <c r="BR15" s="111">
        <f ca="1">INDIRECT("'"&amp;B2&amp;"'!n63")</f>
        <v>0</v>
      </c>
      <c r="BS15" s="111">
        <f ca="1">INDIRECT("'"&amp;B2&amp;"'!o63")</f>
        <v>0</v>
      </c>
      <c r="BT15" s="108">
        <f ca="1">IF(BS15&lt;&gt;0,12,IF(BR15&lt;&gt;0,11,IF(BQ15&lt;&gt;0,10,IF(BP15&lt;&gt;0,9,IF(BO15&lt;&gt;0,8,IF(BN15&lt;&gt;0,7,IF(BM15&lt;&gt;0,6,IF(BL15&lt;&gt;0,5,IF(BK15&lt;&gt;0,4,3)))))))))</f>
        <v>3</v>
      </c>
      <c r="BU15" s="108"/>
      <c r="BV15" s="108"/>
      <c r="BW15" s="108"/>
      <c r="BX15" s="108"/>
      <c r="BY15" s="127"/>
      <c r="BZ15" s="81">
        <f t="shared" ca="1" si="1"/>
        <v>2.6815642458100558E-2</v>
      </c>
      <c r="CA15" s="108">
        <f ca="1">IFERROR(CA81/CA3,0)</f>
        <v>2.6815642458100558E-2</v>
      </c>
      <c r="CB15" s="108">
        <f t="shared" ref="CB15:CL15" ca="1" si="14">IFERROR(CB81/CB3,0)</f>
        <v>0</v>
      </c>
      <c r="CC15" s="108">
        <f t="shared" ca="1" si="14"/>
        <v>0</v>
      </c>
      <c r="CD15" s="108">
        <f t="shared" ca="1" si="14"/>
        <v>0</v>
      </c>
      <c r="CE15" s="108">
        <f t="shared" ca="1" si="14"/>
        <v>0</v>
      </c>
      <c r="CF15" s="108">
        <f t="shared" ca="1" si="14"/>
        <v>0</v>
      </c>
      <c r="CG15" s="108">
        <f t="shared" ca="1" si="14"/>
        <v>0</v>
      </c>
      <c r="CH15" s="108">
        <f t="shared" ca="1" si="14"/>
        <v>0</v>
      </c>
      <c r="CI15" s="108">
        <f t="shared" ca="1" si="14"/>
        <v>0</v>
      </c>
      <c r="CJ15" s="108">
        <f t="shared" ca="1" si="14"/>
        <v>0</v>
      </c>
      <c r="CK15" s="108">
        <f t="shared" ca="1" si="14"/>
        <v>0</v>
      </c>
      <c r="CL15" s="108">
        <f t="shared" ca="1" si="14"/>
        <v>0</v>
      </c>
      <c r="CM15" s="108"/>
      <c r="CN15" s="108"/>
      <c r="CO15" s="108"/>
      <c r="CP15" s="108"/>
      <c r="CQ15" s="108"/>
    </row>
    <row r="16" spans="1:95" s="1" customFormat="1" ht="15.75">
      <c r="V16" s="14"/>
      <c r="W16" s="14"/>
      <c r="X16" s="14"/>
      <c r="Y16" s="14"/>
      <c r="BD16" s="108"/>
      <c r="BE16" s="108">
        <v>66</v>
      </c>
      <c r="BF16" s="125"/>
      <c r="BG16" s="128">
        <f>Справочник!J1</f>
        <v>2019</v>
      </c>
      <c r="BH16" s="111">
        <f ca="1">INDIRECT("'"&amp;B2&amp;"'!D66")</f>
        <v>0.55178791615289768</v>
      </c>
      <c r="BI16" s="111">
        <f ca="1">INDIRECT("'"&amp;B2&amp;"'!e66")</f>
        <v>0</v>
      </c>
      <c r="BJ16" s="111">
        <f ca="1">INDIRECT("'"&amp;B2&amp;"'!f66")</f>
        <v>0</v>
      </c>
      <c r="BK16" s="111">
        <f ca="1">INDIRECT("'"&amp;B2&amp;"'!g66")</f>
        <v>0</v>
      </c>
      <c r="BL16" s="111">
        <f ca="1">INDIRECT("'"&amp;B2&amp;"'!h66")</f>
        <v>0</v>
      </c>
      <c r="BM16" s="111">
        <f ca="1">INDIRECT("'"&amp;B2&amp;"'!i66")</f>
        <v>0</v>
      </c>
      <c r="BN16" s="111">
        <f ca="1">INDIRECT("'"&amp;B2&amp;"'!j66")</f>
        <v>0</v>
      </c>
      <c r="BO16" s="111">
        <f ca="1">INDIRECT("'"&amp;B2&amp;"'!k66")</f>
        <v>0</v>
      </c>
      <c r="BP16" s="111">
        <f ca="1">INDIRECT("'"&amp;B2&amp;"'!l66")</f>
        <v>0</v>
      </c>
      <c r="BQ16" s="111">
        <f ca="1">INDIRECT("'"&amp;B2&amp;"'!m66")</f>
        <v>0</v>
      </c>
      <c r="BR16" s="111">
        <f ca="1">INDIRECT("'"&amp;B2&amp;"'!n66")</f>
        <v>0</v>
      </c>
      <c r="BS16" s="111">
        <f ca="1">INDIRECT("'"&amp;B2&amp;"'!o66")</f>
        <v>0</v>
      </c>
      <c r="BT16" s="108"/>
      <c r="BU16" s="108"/>
      <c r="BV16" s="108"/>
      <c r="BW16" s="108"/>
      <c r="BX16" s="108"/>
      <c r="BY16" s="135" t="s">
        <v>368</v>
      </c>
      <c r="BZ16" s="81">
        <f t="shared" ca="1" si="1"/>
        <v>0.37221633085896078</v>
      </c>
      <c r="CA16" s="108">
        <f ca="1">IFERROR(CA74/CA2,0)</f>
        <v>0.37221633085896078</v>
      </c>
      <c r="CB16" s="108">
        <f t="shared" ref="CB16:CL16" ca="1" si="15">IFERROR(CB74/CB2,0)</f>
        <v>0</v>
      </c>
      <c r="CC16" s="108">
        <f t="shared" ca="1" si="15"/>
        <v>0</v>
      </c>
      <c r="CD16" s="108">
        <f t="shared" ca="1" si="15"/>
        <v>0</v>
      </c>
      <c r="CE16" s="108">
        <f t="shared" ca="1" si="15"/>
        <v>0</v>
      </c>
      <c r="CF16" s="108">
        <f t="shared" ca="1" si="15"/>
        <v>0</v>
      </c>
      <c r="CG16" s="108">
        <f t="shared" ca="1" si="15"/>
        <v>0</v>
      </c>
      <c r="CH16" s="108">
        <f t="shared" ca="1" si="15"/>
        <v>0</v>
      </c>
      <c r="CI16" s="108">
        <f t="shared" ca="1" si="15"/>
        <v>0</v>
      </c>
      <c r="CJ16" s="108">
        <f t="shared" ca="1" si="15"/>
        <v>0</v>
      </c>
      <c r="CK16" s="108">
        <f t="shared" ca="1" si="15"/>
        <v>0</v>
      </c>
      <c r="CL16" s="108">
        <f t="shared" ca="1" si="15"/>
        <v>0</v>
      </c>
      <c r="CM16" s="108"/>
      <c r="CN16" s="108"/>
      <c r="CO16" s="108"/>
      <c r="CP16" s="108"/>
      <c r="CQ16" s="108"/>
    </row>
    <row r="17" spans="1:119" s="1" customFormat="1" ht="15.75">
      <c r="H17" s="333"/>
      <c r="I17" s="333"/>
      <c r="J17" s="333"/>
      <c r="K17" s="333"/>
      <c r="L17" s="333"/>
      <c r="M17" s="333"/>
      <c r="N17" s="333"/>
      <c r="O17" s="333"/>
      <c r="P17" s="333"/>
      <c r="V17" s="14"/>
      <c r="W17" s="14"/>
      <c r="X17" s="14"/>
      <c r="Y17" s="14"/>
      <c r="BD17" s="108"/>
      <c r="BE17" s="108">
        <v>69</v>
      </c>
      <c r="BF17" s="125" t="s">
        <v>365</v>
      </c>
      <c r="BG17" s="126">
        <f t="shared" ref="BG17:BG30" si="16">BG15</f>
        <v>2018</v>
      </c>
      <c r="BH17" s="111">
        <f ca="1">INDIRECT("'"&amp;B2&amp;"'!D69")</f>
        <v>0.61538461538461542</v>
      </c>
      <c r="BI17" s="112">
        <f ca="1">INDIRECT("'"&amp;B2&amp;"'!e69")</f>
        <v>0</v>
      </c>
      <c r="BJ17" s="112">
        <f ca="1">INDIRECT("'"&amp;B2&amp;"'!f69")</f>
        <v>0</v>
      </c>
      <c r="BK17" s="112">
        <f ca="1">INDIRECT("'"&amp;B2&amp;"'!g69")</f>
        <v>0</v>
      </c>
      <c r="BL17" s="112">
        <f ca="1">INDIRECT("'"&amp;B2&amp;"'!h69")</f>
        <v>0</v>
      </c>
      <c r="BM17" s="112">
        <f ca="1">INDIRECT("'"&amp;B2&amp;"'!i69")</f>
        <v>0</v>
      </c>
      <c r="BN17" s="112">
        <f ca="1">INDIRECT("'"&amp;B2&amp;"'!j69")</f>
        <v>0</v>
      </c>
      <c r="BO17" s="112">
        <f ca="1">INDIRECT("'"&amp;B2&amp;"'!k69")</f>
        <v>0</v>
      </c>
      <c r="BP17" s="112">
        <f ca="1">INDIRECT("'"&amp;B2&amp;"'!l69")</f>
        <v>0</v>
      </c>
      <c r="BQ17" s="112">
        <f ca="1">INDIRECT("'"&amp;B2&amp;"'!m69")</f>
        <v>0</v>
      </c>
      <c r="BR17" s="112">
        <f ca="1">INDIRECT("'"&amp;B2&amp;"'!n69")</f>
        <v>0</v>
      </c>
      <c r="BS17" s="112">
        <f ca="1">INDIRECT("'"&amp;B2&amp;"'!o69")</f>
        <v>0</v>
      </c>
      <c r="BT17" s="108"/>
      <c r="BU17" s="108"/>
      <c r="BV17" s="108"/>
      <c r="BW17" s="108"/>
      <c r="BX17" s="108"/>
      <c r="BY17" s="132"/>
      <c r="BZ17" s="81">
        <f t="shared" ca="1" si="1"/>
        <v>0.376536312849162</v>
      </c>
      <c r="CA17" s="108">
        <f ca="1">IFERROR(CA75/CA3,0)</f>
        <v>0.376536312849162</v>
      </c>
      <c r="CB17" s="108">
        <f t="shared" ref="CB17:CL17" ca="1" si="17">IFERROR(CB75/CB3,0)</f>
        <v>0</v>
      </c>
      <c r="CC17" s="108">
        <f t="shared" ca="1" si="17"/>
        <v>0</v>
      </c>
      <c r="CD17" s="108">
        <f t="shared" ca="1" si="17"/>
        <v>0</v>
      </c>
      <c r="CE17" s="108">
        <f t="shared" ca="1" si="17"/>
        <v>0</v>
      </c>
      <c r="CF17" s="108">
        <f t="shared" ca="1" si="17"/>
        <v>0</v>
      </c>
      <c r="CG17" s="108">
        <f t="shared" ca="1" si="17"/>
        <v>0</v>
      </c>
      <c r="CH17" s="108">
        <f t="shared" ca="1" si="17"/>
        <v>0</v>
      </c>
      <c r="CI17" s="108">
        <f t="shared" ca="1" si="17"/>
        <v>0</v>
      </c>
      <c r="CJ17" s="108">
        <f t="shared" ca="1" si="17"/>
        <v>0</v>
      </c>
      <c r="CK17" s="108">
        <f t="shared" ca="1" si="17"/>
        <v>0</v>
      </c>
      <c r="CL17" s="108">
        <f t="shared" ca="1" si="17"/>
        <v>0</v>
      </c>
      <c r="CM17" s="108"/>
      <c r="CN17" s="108"/>
      <c r="CO17" s="108"/>
      <c r="CP17" s="108"/>
      <c r="CQ17" s="108"/>
    </row>
    <row r="18" spans="1:119" s="1" customFormat="1" ht="15.75">
      <c r="H18" s="333"/>
      <c r="I18" s="333"/>
      <c r="J18" s="333"/>
      <c r="K18" s="333"/>
      <c r="L18" s="333"/>
      <c r="M18" s="333"/>
      <c r="N18" s="333"/>
      <c r="O18" s="333"/>
      <c r="P18" s="333"/>
      <c r="V18" s="14"/>
      <c r="W18" s="14"/>
      <c r="X18" s="14"/>
      <c r="Y18" s="14"/>
      <c r="BD18" s="108"/>
      <c r="BE18" s="130">
        <v>72</v>
      </c>
      <c r="BF18" s="125"/>
      <c r="BG18" s="128">
        <f t="shared" si="16"/>
        <v>2019</v>
      </c>
      <c r="BH18" s="111">
        <f ca="1">INDIRECT("'"&amp;B2&amp;"'!D72")</f>
        <v>0.50407830342577487</v>
      </c>
      <c r="BI18" s="112">
        <f ca="1">INDIRECT("'"&amp;B2&amp;"'!e72")</f>
        <v>0</v>
      </c>
      <c r="BJ18" s="112">
        <f ca="1">INDIRECT("'"&amp;B2&amp;"'!f72")</f>
        <v>0</v>
      </c>
      <c r="BK18" s="112">
        <f ca="1">INDIRECT("'"&amp;B2&amp;"'!g72")</f>
        <v>0</v>
      </c>
      <c r="BL18" s="112">
        <f ca="1">INDIRECT("'"&amp;B2&amp;"'!h72")</f>
        <v>0</v>
      </c>
      <c r="BM18" s="112">
        <f ca="1">INDIRECT("'"&amp;B2&amp;"'!i72")</f>
        <v>0</v>
      </c>
      <c r="BN18" s="112">
        <f ca="1">INDIRECT("'"&amp;B2&amp;"'!j72")</f>
        <v>0</v>
      </c>
      <c r="BO18" s="112">
        <f ca="1">INDIRECT("'"&amp;B2&amp;"'!k72")</f>
        <v>0</v>
      </c>
      <c r="BP18" s="112">
        <f ca="1">INDIRECT("'"&amp;B2&amp;"'!l72")</f>
        <v>0</v>
      </c>
      <c r="BQ18" s="112">
        <f ca="1">INDIRECT("'"&amp;B2&amp;"'!m72")</f>
        <v>0</v>
      </c>
      <c r="BR18" s="112">
        <f ca="1">INDIRECT("'"&amp;B2&amp;"'!n72")</f>
        <v>0</v>
      </c>
      <c r="BS18" s="112">
        <f ca="1">INDIRECT("'"&amp;B2&amp;"'!o72")</f>
        <v>0</v>
      </c>
      <c r="BT18" s="108"/>
      <c r="BU18" s="108"/>
      <c r="BV18" s="108"/>
      <c r="BW18" s="108"/>
      <c r="BX18" s="108"/>
      <c r="BY18" s="135" t="s">
        <v>367</v>
      </c>
      <c r="BZ18" s="81">
        <f t="shared" ca="1" si="1"/>
        <v>0.59809119830328739</v>
      </c>
      <c r="CA18" s="108">
        <f ca="1">IFERROR(CA72/CA2,0)</f>
        <v>0.59809119830328739</v>
      </c>
      <c r="CB18" s="108">
        <f t="shared" ref="CB18:CL18" ca="1" si="18">IFERROR(CB72/CB2,0)</f>
        <v>0</v>
      </c>
      <c r="CC18" s="108">
        <f t="shared" ca="1" si="18"/>
        <v>0</v>
      </c>
      <c r="CD18" s="108">
        <f t="shared" ca="1" si="18"/>
        <v>0</v>
      </c>
      <c r="CE18" s="108">
        <f t="shared" ca="1" si="18"/>
        <v>0</v>
      </c>
      <c r="CF18" s="108">
        <f t="shared" ca="1" si="18"/>
        <v>0</v>
      </c>
      <c r="CG18" s="108">
        <f t="shared" ca="1" si="18"/>
        <v>0</v>
      </c>
      <c r="CH18" s="108">
        <f t="shared" ca="1" si="18"/>
        <v>0</v>
      </c>
      <c r="CI18" s="108">
        <f t="shared" ca="1" si="18"/>
        <v>0</v>
      </c>
      <c r="CJ18" s="108">
        <f t="shared" ca="1" si="18"/>
        <v>0</v>
      </c>
      <c r="CK18" s="108">
        <f t="shared" ca="1" si="18"/>
        <v>0</v>
      </c>
      <c r="CL18" s="108">
        <f t="shared" ca="1" si="18"/>
        <v>0</v>
      </c>
      <c r="CM18" s="108"/>
      <c r="CN18" s="108"/>
      <c r="CO18" s="108"/>
      <c r="CP18" s="108"/>
      <c r="CQ18" s="108"/>
    </row>
    <row r="19" spans="1:119" s="1" customFormat="1" ht="15.75">
      <c r="A19" s="21" t="s">
        <v>340</v>
      </c>
      <c r="B19"/>
      <c r="C19" s="21" t="str">
        <f>CONCATENATE(BZ26,"-")</f>
        <v>2018-</v>
      </c>
      <c r="D19" s="75">
        <f ca="1">CM85</f>
        <v>3524</v>
      </c>
      <c r="E19" s="21" t="str">
        <f>CONCATENATE(BZ27,"-")</f>
        <v>2019-</v>
      </c>
      <c r="F19" s="75">
        <f ca="1">CM87</f>
        <v>3565</v>
      </c>
      <c r="G19" s="77">
        <f ca="1">IFERROR(F19/D19*100-100,IF(F19&gt;0,100,0))/100</f>
        <v>1.1634506242905757E-2</v>
      </c>
      <c r="Q19" s="149" t="s">
        <v>351</v>
      </c>
      <c r="V19" s="152" t="s">
        <v>525</v>
      </c>
      <c r="W19" s="149">
        <f ca="1">BG37</f>
        <v>19</v>
      </c>
      <c r="X19" s="189" t="str">
        <f ca="1">CONCATENATE("(",BG37-BG36,")")</f>
        <v>(1)</v>
      </c>
      <c r="Y19" s="14"/>
      <c r="BD19" s="108"/>
      <c r="BE19" s="130">
        <v>75</v>
      </c>
      <c r="BF19" s="125" t="s">
        <v>351</v>
      </c>
      <c r="BG19" s="126">
        <f t="shared" si="16"/>
        <v>2018</v>
      </c>
      <c r="BH19" s="111">
        <f ca="1">INDIRECT("'"&amp;B2&amp;"'!D75")</f>
        <v>1</v>
      </c>
      <c r="BI19" s="112">
        <f ca="1">INDIRECT("'"&amp;B2&amp;"'!e75")</f>
        <v>0</v>
      </c>
      <c r="BJ19" s="112">
        <f ca="1">INDIRECT("'"&amp;B2&amp;"'!f75")</f>
        <v>0</v>
      </c>
      <c r="BK19" s="112">
        <f ca="1">INDIRECT("'"&amp;B2&amp;"'!g75")</f>
        <v>0</v>
      </c>
      <c r="BL19" s="112">
        <f ca="1">INDIRECT("'"&amp;B2&amp;"'!h75")</f>
        <v>0</v>
      </c>
      <c r="BM19" s="112">
        <f ca="1">INDIRECT("'"&amp;B2&amp;"'!i75")</f>
        <v>0</v>
      </c>
      <c r="BN19" s="112">
        <f ca="1">INDIRECT("'"&amp;B2&amp;"'!j75")</f>
        <v>0</v>
      </c>
      <c r="BO19" s="112">
        <f ca="1">INDIRECT("'"&amp;B2&amp;"'!k75")</f>
        <v>0</v>
      </c>
      <c r="BP19" s="112">
        <f ca="1">INDIRECT("'"&amp;B2&amp;"'!l75")</f>
        <v>0</v>
      </c>
      <c r="BQ19" s="112">
        <f ca="1">INDIRECT("'"&amp;B2&amp;"'!m75")</f>
        <v>0</v>
      </c>
      <c r="BR19" s="112">
        <f ca="1">INDIRECT("'"&amp;B2&amp;"'!n75")</f>
        <v>0</v>
      </c>
      <c r="BS19" s="112">
        <f ca="1">INDIRECT("'"&amp;B2&amp;"'!o75")</f>
        <v>0</v>
      </c>
      <c r="BT19" s="108"/>
      <c r="BU19" s="108"/>
      <c r="BV19" s="108"/>
      <c r="BW19" s="108"/>
      <c r="BX19" s="108"/>
      <c r="BY19" s="129"/>
      <c r="BZ19" s="81">
        <f t="shared" ca="1" si="1"/>
        <v>0.62849162011173187</v>
      </c>
      <c r="CA19" s="108">
        <f ca="1">IFERROR(CA73/CA3,0)</f>
        <v>0.62849162011173187</v>
      </c>
      <c r="CB19" s="108">
        <f t="shared" ref="CB19:CL19" ca="1" si="19">IFERROR(CB73/CB3,0)</f>
        <v>0</v>
      </c>
      <c r="CC19" s="108">
        <f t="shared" ca="1" si="19"/>
        <v>0</v>
      </c>
      <c r="CD19" s="108">
        <f t="shared" ca="1" si="19"/>
        <v>0</v>
      </c>
      <c r="CE19" s="108">
        <f t="shared" ca="1" si="19"/>
        <v>0</v>
      </c>
      <c r="CF19" s="108">
        <f t="shared" ca="1" si="19"/>
        <v>0</v>
      </c>
      <c r="CG19" s="108">
        <f t="shared" ca="1" si="19"/>
        <v>0</v>
      </c>
      <c r="CH19" s="108">
        <f t="shared" ca="1" si="19"/>
        <v>0</v>
      </c>
      <c r="CI19" s="108">
        <f t="shared" ca="1" si="19"/>
        <v>0</v>
      </c>
      <c r="CJ19" s="108">
        <f t="shared" ca="1" si="19"/>
        <v>0</v>
      </c>
      <c r="CK19" s="108">
        <f t="shared" ca="1" si="19"/>
        <v>0</v>
      </c>
      <c r="CL19" s="108">
        <f t="shared" ca="1" si="19"/>
        <v>0</v>
      </c>
      <c r="CM19" s="108"/>
      <c r="CN19" s="108"/>
      <c r="CO19" s="108"/>
      <c r="CP19" s="108"/>
      <c r="CQ19" s="108"/>
    </row>
    <row r="20" spans="1:119" s="1" customFormat="1" ht="15.75">
      <c r="A20"/>
      <c r="B20"/>
      <c r="C20"/>
      <c r="D20"/>
      <c r="E20"/>
      <c r="F20"/>
      <c r="G20"/>
      <c r="H20" s="333"/>
      <c r="I20" s="333"/>
      <c r="J20" s="333"/>
      <c r="K20" s="333"/>
      <c r="L20" s="333"/>
      <c r="M20" s="333"/>
      <c r="N20" s="333"/>
      <c r="O20" s="333"/>
      <c r="P20" s="333"/>
      <c r="R20" s="108"/>
      <c r="S20" s="108"/>
      <c r="T20" s="108"/>
      <c r="U20" s="108"/>
      <c r="V20" s="155"/>
      <c r="W20" s="155"/>
      <c r="X20" s="155"/>
      <c r="Y20" s="155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30">
        <v>78</v>
      </c>
      <c r="BF20" s="125"/>
      <c r="BG20" s="128">
        <f t="shared" si="16"/>
        <v>2019</v>
      </c>
      <c r="BH20" s="111">
        <f ca="1">INDIRECT("'"&amp;B2&amp;"'!D78")</f>
        <v>0.95</v>
      </c>
      <c r="BI20" s="112">
        <f ca="1">INDIRECT("'"&amp;B2&amp;"'!e78")</f>
        <v>0</v>
      </c>
      <c r="BJ20" s="112">
        <f ca="1">INDIRECT("'"&amp;B2&amp;"'!f78")</f>
        <v>0</v>
      </c>
      <c r="BK20" s="112">
        <f ca="1">INDIRECT("'"&amp;B2&amp;"'!g78")</f>
        <v>0</v>
      </c>
      <c r="BL20" s="112">
        <f ca="1">INDIRECT("'"&amp;B2&amp;"'!h78")</f>
        <v>0</v>
      </c>
      <c r="BM20" s="112">
        <f ca="1">INDIRECT("'"&amp;B2&amp;"'!i78")</f>
        <v>0</v>
      </c>
      <c r="BN20" s="112">
        <f ca="1">INDIRECT("'"&amp;B2&amp;"'!j78")</f>
        <v>0</v>
      </c>
      <c r="BO20" s="112">
        <f ca="1">INDIRECT("'"&amp;B2&amp;"'!k78")</f>
        <v>0</v>
      </c>
      <c r="BP20" s="112">
        <f ca="1">INDIRECT("'"&amp;B2&amp;"'!l78")</f>
        <v>0</v>
      </c>
      <c r="BQ20" s="112">
        <f ca="1">INDIRECT("'"&amp;B2&amp;"'!m78")</f>
        <v>0</v>
      </c>
      <c r="BR20" s="112">
        <f ca="1">INDIRECT("'"&amp;B2&amp;"'!n78")</f>
        <v>0</v>
      </c>
      <c r="BS20" s="112">
        <f ca="1">INDIRECT("'"&amp;B2&amp;"'!o78")</f>
        <v>0</v>
      </c>
      <c r="BT20" s="108"/>
      <c r="BU20" s="108"/>
      <c r="BV20" s="108"/>
      <c r="BW20" s="108"/>
      <c r="BX20" s="108"/>
      <c r="BY20" s="120" t="s">
        <v>369</v>
      </c>
      <c r="BZ20" s="81">
        <f t="shared" ca="1" si="1"/>
        <v>2.6511134676564158E-3</v>
      </c>
      <c r="CA20" s="108">
        <f ca="1">IFERROR(CA76/CA2,0)</f>
        <v>2.6511134676564158E-3</v>
      </c>
      <c r="CB20" s="108">
        <f t="shared" ref="CB20:CL20" ca="1" si="20">IFERROR(CB76/CB2,0)</f>
        <v>0</v>
      </c>
      <c r="CC20" s="108">
        <f t="shared" ca="1" si="20"/>
        <v>0</v>
      </c>
      <c r="CD20" s="108">
        <f t="shared" ca="1" si="20"/>
        <v>0</v>
      </c>
      <c r="CE20" s="108">
        <f t="shared" ca="1" si="20"/>
        <v>0</v>
      </c>
      <c r="CF20" s="108">
        <f t="shared" ca="1" si="20"/>
        <v>0</v>
      </c>
      <c r="CG20" s="108">
        <f t="shared" ca="1" si="20"/>
        <v>0</v>
      </c>
      <c r="CH20" s="108">
        <f t="shared" ca="1" si="20"/>
        <v>0</v>
      </c>
      <c r="CI20" s="108">
        <f t="shared" ca="1" si="20"/>
        <v>0</v>
      </c>
      <c r="CJ20" s="108">
        <f t="shared" ca="1" si="20"/>
        <v>0</v>
      </c>
      <c r="CK20" s="108">
        <f t="shared" ca="1" si="20"/>
        <v>0</v>
      </c>
      <c r="CL20" s="108">
        <f t="shared" ca="1" si="20"/>
        <v>0</v>
      </c>
      <c r="CM20" s="108"/>
      <c r="CN20" s="108"/>
      <c r="CO20" s="108"/>
      <c r="CP20" s="108"/>
      <c r="CQ20" s="108"/>
    </row>
    <row r="21" spans="1:119" s="1" customFormat="1" ht="15.75">
      <c r="A21"/>
      <c r="B21"/>
      <c r="C21"/>
      <c r="D21"/>
      <c r="E21"/>
      <c r="F21"/>
      <c r="G21"/>
      <c r="H21" s="333"/>
      <c r="I21" s="333"/>
      <c r="J21" s="333"/>
      <c r="K21" s="333"/>
      <c r="L21" s="333"/>
      <c r="M21" s="333"/>
      <c r="N21" s="333"/>
      <c r="O21" s="333"/>
      <c r="P21" s="333"/>
      <c r="R21" s="108"/>
      <c r="S21" s="108"/>
      <c r="T21" s="108"/>
      <c r="U21" s="108"/>
      <c r="V21" s="155"/>
      <c r="W21" s="155"/>
      <c r="X21" s="155"/>
      <c r="Y21" s="155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30">
        <v>81</v>
      </c>
      <c r="BF21" s="125" t="s">
        <v>374</v>
      </c>
      <c r="BG21" s="126">
        <f t="shared" si="16"/>
        <v>2018</v>
      </c>
      <c r="BH21" s="111">
        <f ca="1">INDIRECT("'"&amp;B2&amp;"'!D81")</f>
        <v>0.9538461538461539</v>
      </c>
      <c r="BI21" s="112">
        <f ca="1">INDIRECT("'"&amp;B2&amp;"'!e81")</f>
        <v>0</v>
      </c>
      <c r="BJ21" s="112">
        <f ca="1">INDIRECT("'"&amp;B2&amp;"'!f81")</f>
        <v>0</v>
      </c>
      <c r="BK21" s="112">
        <f ca="1">INDIRECT("'"&amp;B2&amp;"'!g81")</f>
        <v>0</v>
      </c>
      <c r="BL21" s="112">
        <f ca="1">INDIRECT("'"&amp;B2&amp;"'!h81")</f>
        <v>0</v>
      </c>
      <c r="BM21" s="112">
        <f ca="1">INDIRECT("'"&amp;B2&amp;"'!i81")</f>
        <v>0</v>
      </c>
      <c r="BN21" s="112">
        <f ca="1">INDIRECT("'"&amp;B2&amp;"'!j81")</f>
        <v>0</v>
      </c>
      <c r="BO21" s="112">
        <f ca="1">INDIRECT("'"&amp;B2&amp;"'!k81")</f>
        <v>0</v>
      </c>
      <c r="BP21" s="112">
        <f ca="1">INDIRECT("'"&amp;B2&amp;"'!l81")</f>
        <v>0</v>
      </c>
      <c r="BQ21" s="112">
        <f ca="1">INDIRECT("'"&amp;B2&amp;"'!m81")</f>
        <v>0</v>
      </c>
      <c r="BR21" s="112">
        <f ca="1">INDIRECT("'"&amp;B2&amp;"'!n81")</f>
        <v>0</v>
      </c>
      <c r="BS21" s="112">
        <f ca="1">INDIRECT("'"&amp;B2&amp;"'!o81")</f>
        <v>0</v>
      </c>
      <c r="BT21" s="108"/>
      <c r="BU21" s="108"/>
      <c r="BV21" s="108"/>
      <c r="BW21" s="108"/>
      <c r="BX21" s="108"/>
      <c r="BY21" s="129"/>
      <c r="BZ21" s="81">
        <f t="shared" ca="1" si="1"/>
        <v>5.0279329608938546E-3</v>
      </c>
      <c r="CA21" s="108">
        <f ca="1">IFERROR(CA77/CA3,0)</f>
        <v>5.0279329608938546E-3</v>
      </c>
      <c r="CB21" s="108">
        <f t="shared" ref="CB21:CL21" ca="1" si="21">IFERROR(CB77/CB3,0)</f>
        <v>0</v>
      </c>
      <c r="CC21" s="108">
        <f t="shared" ca="1" si="21"/>
        <v>0</v>
      </c>
      <c r="CD21" s="108">
        <f t="shared" ca="1" si="21"/>
        <v>0</v>
      </c>
      <c r="CE21" s="108">
        <f t="shared" ca="1" si="21"/>
        <v>0</v>
      </c>
      <c r="CF21" s="108">
        <f t="shared" ca="1" si="21"/>
        <v>0</v>
      </c>
      <c r="CG21" s="108">
        <f t="shared" ca="1" si="21"/>
        <v>0</v>
      </c>
      <c r="CH21" s="108">
        <f t="shared" ca="1" si="21"/>
        <v>0</v>
      </c>
      <c r="CI21" s="108">
        <f t="shared" ca="1" si="21"/>
        <v>0</v>
      </c>
      <c r="CJ21" s="108">
        <f t="shared" ca="1" si="21"/>
        <v>0</v>
      </c>
      <c r="CK21" s="108">
        <f t="shared" ca="1" si="21"/>
        <v>0</v>
      </c>
      <c r="CL21" s="108">
        <f t="shared" ca="1" si="21"/>
        <v>0</v>
      </c>
      <c r="CM21" s="108"/>
      <c r="CN21" s="108"/>
      <c r="CO21" s="108"/>
      <c r="CP21" s="108"/>
      <c r="CQ21" s="108"/>
    </row>
    <row r="22" spans="1:119" s="1" customFormat="1" ht="15.7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R22" s="108"/>
      <c r="S22" s="108"/>
      <c r="T22" s="108"/>
      <c r="U22" s="108"/>
      <c r="V22" s="155"/>
      <c r="W22" s="155"/>
      <c r="X22" s="155"/>
      <c r="Y22" s="155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30">
        <v>84</v>
      </c>
      <c r="BF22" s="125"/>
      <c r="BG22" s="128">
        <f t="shared" si="16"/>
        <v>2019</v>
      </c>
      <c r="BH22" s="111">
        <f ca="1">INDIRECT("'"&amp;B2&amp;"'!D84")</f>
        <v>0.83333333333333337</v>
      </c>
      <c r="BI22" s="112">
        <f ca="1">INDIRECT("'"&amp;B2&amp;"'!e84")</f>
        <v>0</v>
      </c>
      <c r="BJ22" s="112">
        <f ca="1">INDIRECT("'"&amp;B2&amp;"'!f84")</f>
        <v>0</v>
      </c>
      <c r="BK22" s="112">
        <f ca="1">INDIRECT("'"&amp;B2&amp;"'!g84")</f>
        <v>0</v>
      </c>
      <c r="BL22" s="112">
        <f ca="1">INDIRECT("'"&amp;B2&amp;"'!h84")</f>
        <v>0</v>
      </c>
      <c r="BM22" s="112">
        <f ca="1">INDIRECT("'"&amp;B2&amp;"'!i84")</f>
        <v>0</v>
      </c>
      <c r="BN22" s="112">
        <f ca="1">INDIRECT("'"&amp;B2&amp;"'!j84")</f>
        <v>0</v>
      </c>
      <c r="BO22" s="112">
        <f ca="1">INDIRECT("'"&amp;B2&amp;"'!k84")</f>
        <v>0</v>
      </c>
      <c r="BP22" s="112">
        <f ca="1">INDIRECT("'"&amp;B2&amp;"'!l84")</f>
        <v>0</v>
      </c>
      <c r="BQ22" s="112">
        <f ca="1">INDIRECT("'"&amp;B2&amp;"'!m84")</f>
        <v>0</v>
      </c>
      <c r="BR22" s="112">
        <f ca="1">INDIRECT("'"&amp;B2&amp;"'!n84")</f>
        <v>0</v>
      </c>
      <c r="BS22" s="112">
        <f ca="1">INDIRECT("'"&amp;B2&amp;"'!o84")</f>
        <v>0</v>
      </c>
      <c r="BT22" s="108"/>
      <c r="BU22" s="108"/>
      <c r="BV22" s="108"/>
      <c r="BW22" s="108"/>
      <c r="BX22" s="108"/>
      <c r="BY22" s="120" t="s">
        <v>365</v>
      </c>
      <c r="BZ22" s="81">
        <f t="shared" ca="1" si="1"/>
        <v>0.22905620360551432</v>
      </c>
      <c r="CA22" s="108">
        <f ca="1">IFERROR(CA78/CA2,0)</f>
        <v>0.22905620360551432</v>
      </c>
      <c r="CB22" s="108">
        <f t="shared" ref="CB22:CL22" ca="1" si="22">IFERROR(CB78/CB2,0)</f>
        <v>0</v>
      </c>
      <c r="CC22" s="108">
        <f t="shared" ca="1" si="22"/>
        <v>0</v>
      </c>
      <c r="CD22" s="108">
        <f t="shared" ca="1" si="22"/>
        <v>0</v>
      </c>
      <c r="CE22" s="108">
        <f t="shared" ca="1" si="22"/>
        <v>0</v>
      </c>
      <c r="CF22" s="108">
        <f t="shared" ca="1" si="22"/>
        <v>0</v>
      </c>
      <c r="CG22" s="108">
        <f t="shared" ca="1" si="22"/>
        <v>0</v>
      </c>
      <c r="CH22" s="108">
        <f t="shared" ca="1" si="22"/>
        <v>0</v>
      </c>
      <c r="CI22" s="108">
        <f t="shared" ca="1" si="22"/>
        <v>0</v>
      </c>
      <c r="CJ22" s="108">
        <f t="shared" ca="1" si="22"/>
        <v>0</v>
      </c>
      <c r="CK22" s="108">
        <f t="shared" ca="1" si="22"/>
        <v>0</v>
      </c>
      <c r="CL22" s="108">
        <f t="shared" ca="1" si="22"/>
        <v>0</v>
      </c>
      <c r="CM22" s="108"/>
      <c r="CN22" s="108"/>
      <c r="CO22" s="108"/>
      <c r="CP22" s="108"/>
      <c r="CQ22" s="108"/>
    </row>
    <row r="23" spans="1:119" s="1" customFormat="1" ht="15.75">
      <c r="B23"/>
      <c r="C23"/>
      <c r="D23"/>
      <c r="E23"/>
      <c r="F23"/>
      <c r="G23"/>
      <c r="H23" s="333"/>
      <c r="I23" s="333"/>
      <c r="J23" s="333"/>
      <c r="K23" s="333"/>
      <c r="L23" s="333"/>
      <c r="M23" s="333"/>
      <c r="N23" s="333"/>
      <c r="O23" s="333"/>
      <c r="P23" s="333"/>
      <c r="R23" s="108"/>
      <c r="S23" s="108"/>
      <c r="T23" s="108"/>
      <c r="U23" s="108"/>
      <c r="V23" s="155"/>
      <c r="W23" s="155"/>
      <c r="X23" s="155"/>
      <c r="Y23" s="155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30">
        <v>87</v>
      </c>
      <c r="BF23" s="125" t="s">
        <v>378</v>
      </c>
      <c r="BG23" s="126">
        <f t="shared" si="16"/>
        <v>2018</v>
      </c>
      <c r="BH23" s="111">
        <f ca="1">INDIRECT("'"&amp;B2&amp;"'!D87")</f>
        <v>0.68421052631578949</v>
      </c>
      <c r="BI23" s="112">
        <f ca="1">INDIRECT("'"&amp;B2&amp;"'!e87")</f>
        <v>0</v>
      </c>
      <c r="BJ23" s="112">
        <f ca="1">INDIRECT("'"&amp;B2&amp;"'!f87")</f>
        <v>0</v>
      </c>
      <c r="BK23" s="112">
        <f ca="1">INDIRECT("'"&amp;B2&amp;"'!g87")</f>
        <v>0</v>
      </c>
      <c r="BL23" s="112">
        <f ca="1">INDIRECT("'"&amp;B2&amp;"'!h87")</f>
        <v>0</v>
      </c>
      <c r="BM23" s="112">
        <f ca="1">INDIRECT("'"&amp;B2&amp;"'!i87")</f>
        <v>0</v>
      </c>
      <c r="BN23" s="112">
        <f ca="1">INDIRECT("'"&amp;B2&amp;"'!j87")</f>
        <v>0</v>
      </c>
      <c r="BO23" s="112">
        <f ca="1">INDIRECT("'"&amp;B2&amp;"'!k87")</f>
        <v>0</v>
      </c>
      <c r="BP23" s="112">
        <f ca="1">INDIRECT("'"&amp;B2&amp;"'!l87")</f>
        <v>0</v>
      </c>
      <c r="BQ23" s="112">
        <f ca="1">INDIRECT("'"&amp;B2&amp;"'!m87")</f>
        <v>0</v>
      </c>
      <c r="BR23" s="112">
        <f ca="1">INDIRECT("'"&amp;B2&amp;"'!n87")</f>
        <v>0</v>
      </c>
      <c r="BS23" s="112">
        <f ca="1">INDIRECT("'"&amp;B2&amp;"'!o87")</f>
        <v>0</v>
      </c>
      <c r="BT23" s="108"/>
      <c r="BU23" s="108"/>
      <c r="BV23" s="108"/>
      <c r="BW23" s="108"/>
      <c r="BX23" s="108"/>
      <c r="BY23" s="129"/>
      <c r="BZ23" s="81">
        <f t="shared" ca="1" si="1"/>
        <v>0.17262569832402236</v>
      </c>
      <c r="CA23" s="108">
        <f ca="1">IFERROR(CA79/CA3,0)</f>
        <v>0.17262569832402236</v>
      </c>
      <c r="CB23" s="108">
        <f t="shared" ref="CB23:CL23" ca="1" si="23">IFERROR(CB79/CB3,0)</f>
        <v>0</v>
      </c>
      <c r="CC23" s="108">
        <f t="shared" ca="1" si="23"/>
        <v>0</v>
      </c>
      <c r="CD23" s="108">
        <f t="shared" ca="1" si="23"/>
        <v>0</v>
      </c>
      <c r="CE23" s="108">
        <f t="shared" ca="1" si="23"/>
        <v>0</v>
      </c>
      <c r="CF23" s="108">
        <f t="shared" ca="1" si="23"/>
        <v>0</v>
      </c>
      <c r="CG23" s="108">
        <f t="shared" ca="1" si="23"/>
        <v>0</v>
      </c>
      <c r="CH23" s="108">
        <f t="shared" ca="1" si="23"/>
        <v>0</v>
      </c>
      <c r="CI23" s="108">
        <f t="shared" ca="1" si="23"/>
        <v>0</v>
      </c>
      <c r="CJ23" s="108">
        <f t="shared" ca="1" si="23"/>
        <v>0</v>
      </c>
      <c r="CK23" s="108">
        <f t="shared" ca="1" si="23"/>
        <v>0</v>
      </c>
      <c r="CL23" s="108">
        <f t="shared" ca="1" si="23"/>
        <v>0</v>
      </c>
      <c r="CM23" s="108"/>
      <c r="CN23" s="108"/>
      <c r="CO23" s="108"/>
      <c r="CP23" s="108"/>
      <c r="CQ23" s="108"/>
    </row>
    <row r="24" spans="1:119" ht="16.5">
      <c r="A24" s="1" t="s">
        <v>521</v>
      </c>
      <c r="H24" s="333"/>
      <c r="I24" s="333"/>
      <c r="J24" s="333"/>
      <c r="K24" s="333"/>
      <c r="L24" s="333"/>
      <c r="M24" s="333"/>
      <c r="N24" s="333"/>
      <c r="O24" s="333"/>
      <c r="P24" s="333"/>
      <c r="R24" s="108"/>
      <c r="S24" s="108"/>
      <c r="T24" s="108"/>
      <c r="U24" s="108"/>
      <c r="V24" s="155"/>
      <c r="W24" s="155"/>
      <c r="X24" s="155"/>
      <c r="Y24" s="155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30">
        <v>90</v>
      </c>
      <c r="BF24" s="125"/>
      <c r="BG24" s="128">
        <f t="shared" si="16"/>
        <v>2019</v>
      </c>
      <c r="BH24" s="111">
        <f ca="1">INDIRECT("'"&amp;B2&amp;"'!D90")</f>
        <v>1</v>
      </c>
      <c r="BI24" s="112">
        <f ca="1">INDIRECT("'"&amp;B2&amp;"'!e90")</f>
        <v>0</v>
      </c>
      <c r="BJ24" s="112">
        <f ca="1">INDIRECT("'"&amp;B2&amp;"'!f90")</f>
        <v>0</v>
      </c>
      <c r="BK24" s="112">
        <f ca="1">INDIRECT("'"&amp;B2&amp;"'!g90")</f>
        <v>0</v>
      </c>
      <c r="BL24" s="112">
        <f ca="1">INDIRECT("'"&amp;B2&amp;"'!h90")</f>
        <v>0</v>
      </c>
      <c r="BM24" s="112">
        <f ca="1">INDIRECT("'"&amp;B2&amp;"'!i90")</f>
        <v>0</v>
      </c>
      <c r="BN24" s="112">
        <f ca="1">INDIRECT("'"&amp;B2&amp;"'!j90")</f>
        <v>0</v>
      </c>
      <c r="BO24" s="112">
        <f ca="1">INDIRECT("'"&amp;B2&amp;"'!k90")</f>
        <v>0</v>
      </c>
      <c r="BP24" s="112">
        <f ca="1">INDIRECT("'"&amp;B2&amp;"'!l90")</f>
        <v>0</v>
      </c>
      <c r="BQ24" s="112">
        <f ca="1">INDIRECT("'"&amp;B2&amp;"'!m90")</f>
        <v>0</v>
      </c>
      <c r="BR24" s="112">
        <f ca="1">INDIRECT("'"&amp;B2&amp;"'!n90")</f>
        <v>0</v>
      </c>
      <c r="BS24" s="112">
        <f ca="1">INDIRECT("'"&amp;B2&amp;"'!o90")</f>
        <v>0</v>
      </c>
      <c r="BT24" s="108"/>
      <c r="BU24" s="108"/>
      <c r="BV24" s="108"/>
      <c r="BW24" s="108"/>
      <c r="BX24" s="108"/>
      <c r="BY24" s="167" t="s">
        <v>513</v>
      </c>
      <c r="BZ24" s="168">
        <f ca="1">IF(CL26&lt;&gt;0,12,IF(CK26&lt;&gt;0,11,IF(CJ26&lt;&gt;0,10,IF(CI26&lt;&gt;0,9,IF(CH26&lt;&gt;0,8,IF(CG26&lt;&gt;0,7,IF(CF26&lt;&gt;0,6,IF(CE26&lt;&gt;0,5,IF(CD26&lt;&gt;0,4,IF(CC26&lt;&gt;0,3,IF(CB26&lt;&gt;0,2,1)))))))))))</f>
        <v>1</v>
      </c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DC24" s="1" t="s">
        <v>515</v>
      </c>
    </row>
    <row r="25" spans="1:119" ht="18.75">
      <c r="H25" s="85"/>
      <c r="I25" s="85"/>
      <c r="J25" s="85"/>
      <c r="K25" s="85"/>
      <c r="L25" s="85"/>
      <c r="M25" s="85"/>
      <c r="N25" s="85"/>
      <c r="O25" s="85"/>
      <c r="P25" s="85"/>
      <c r="R25" s="108"/>
      <c r="S25" s="108"/>
      <c r="T25" s="108"/>
      <c r="U25" s="108"/>
      <c r="V25" s="155"/>
      <c r="W25" s="155"/>
      <c r="X25" s="155"/>
      <c r="Y25" s="155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30">
        <v>93</v>
      </c>
      <c r="BF25" s="125" t="s">
        <v>346</v>
      </c>
      <c r="BG25" s="126">
        <f t="shared" si="16"/>
        <v>2018</v>
      </c>
      <c r="BH25" s="111">
        <f ca="1">INDIRECT("'"&amp;B2&amp;"'!D93")</f>
        <v>0.61176470588235299</v>
      </c>
      <c r="BI25" s="112">
        <f ca="1">INDIRECT("'"&amp;B2&amp;"'!e93")</f>
        <v>0</v>
      </c>
      <c r="BJ25" s="112">
        <f ca="1">INDIRECT("'"&amp;B2&amp;"'!f93")</f>
        <v>0</v>
      </c>
      <c r="BK25" s="112">
        <f ca="1">INDIRECT("'"&amp;B2&amp;"'!g93")</f>
        <v>0</v>
      </c>
      <c r="BL25" s="195">
        <f ca="1">INDIRECT("'"&amp;B2&amp;"'!h93")</f>
        <v>0</v>
      </c>
      <c r="BM25" s="112">
        <f ca="1">INDIRECT("'"&amp;B2&amp;"'!i93")</f>
        <v>0</v>
      </c>
      <c r="BN25" s="112">
        <f ca="1">INDIRECT("'"&amp;B2&amp;"'!j93")</f>
        <v>0</v>
      </c>
      <c r="BO25" s="112">
        <f ca="1">INDIRECT("'"&amp;B2&amp;"'!k93")</f>
        <v>0</v>
      </c>
      <c r="BP25" s="112">
        <f ca="1">INDIRECT("'"&amp;B2&amp;"'!l93")</f>
        <v>0</v>
      </c>
      <c r="BQ25" s="112">
        <f ca="1">INDIRECT("'"&amp;B2&amp;"'!m93")</f>
        <v>0</v>
      </c>
      <c r="BR25" s="112">
        <f ca="1">INDIRECT("'"&amp;B2&amp;"'!n93")</f>
        <v>0</v>
      </c>
      <c r="BS25" s="112">
        <f ca="1">INDIRECT("'"&amp;B2&amp;"'!o93")</f>
        <v>0</v>
      </c>
      <c r="BT25" s="108"/>
      <c r="BU25" s="108"/>
      <c r="BV25" s="108"/>
      <c r="BW25" s="108"/>
      <c r="BX25" s="108"/>
      <c r="BY25" s="122" t="s">
        <v>155</v>
      </c>
      <c r="BZ25" s="123"/>
      <c r="CA25" s="124" t="s">
        <v>178</v>
      </c>
      <c r="CB25" s="124" t="s">
        <v>179</v>
      </c>
      <c r="CC25" s="124" t="s">
        <v>180</v>
      </c>
      <c r="CD25" s="124" t="s">
        <v>181</v>
      </c>
      <c r="CE25" s="124" t="s">
        <v>182</v>
      </c>
      <c r="CF25" s="124" t="s">
        <v>183</v>
      </c>
      <c r="CG25" s="124" t="s">
        <v>184</v>
      </c>
      <c r="CH25" s="124" t="s">
        <v>185</v>
      </c>
      <c r="CI25" s="124" t="s">
        <v>186</v>
      </c>
      <c r="CJ25" s="124" t="s">
        <v>187</v>
      </c>
      <c r="CK25" s="124" t="s">
        <v>188</v>
      </c>
      <c r="CL25" s="124" t="s">
        <v>189</v>
      </c>
      <c r="CM25" s="131"/>
      <c r="CN25" s="161" t="s">
        <v>505</v>
      </c>
      <c r="CO25" s="123"/>
      <c r="CP25" s="124" t="s">
        <v>178</v>
      </c>
      <c r="CQ25" s="124" t="s">
        <v>179</v>
      </c>
      <c r="CR25" s="124" t="s">
        <v>180</v>
      </c>
      <c r="CS25" s="124" t="s">
        <v>181</v>
      </c>
      <c r="CT25" s="124" t="s">
        <v>182</v>
      </c>
      <c r="CU25" s="124" t="s">
        <v>183</v>
      </c>
      <c r="CV25" s="124" t="s">
        <v>184</v>
      </c>
      <c r="CW25" s="124" t="s">
        <v>185</v>
      </c>
      <c r="CX25" s="124" t="s">
        <v>186</v>
      </c>
      <c r="CY25" s="124" t="s">
        <v>187</v>
      </c>
      <c r="CZ25" s="124" t="s">
        <v>188</v>
      </c>
      <c r="DA25" s="124" t="s">
        <v>189</v>
      </c>
      <c r="DC25">
        <v>1</v>
      </c>
      <c r="DD25">
        <v>2</v>
      </c>
      <c r="DE25">
        <v>3</v>
      </c>
      <c r="DF25" s="1">
        <v>4</v>
      </c>
      <c r="DG25" s="1">
        <v>5</v>
      </c>
      <c r="DH25" s="1">
        <v>6</v>
      </c>
      <c r="DI25" s="1">
        <v>7</v>
      </c>
      <c r="DJ25" s="1">
        <v>8</v>
      </c>
      <c r="DK25" s="1">
        <v>9</v>
      </c>
      <c r="DL25" s="1">
        <v>10</v>
      </c>
      <c r="DM25" s="1">
        <v>11</v>
      </c>
      <c r="DN25" s="1">
        <v>12</v>
      </c>
    </row>
    <row r="26" spans="1:119" ht="15.75">
      <c r="Q26" s="149" t="s">
        <v>374</v>
      </c>
      <c r="R26" s="108"/>
      <c r="S26" s="108"/>
      <c r="T26" s="108"/>
      <c r="U26" s="108"/>
      <c r="V26" s="152" t="s">
        <v>525</v>
      </c>
      <c r="W26" s="187">
        <f ca="1">BG39</f>
        <v>3</v>
      </c>
      <c r="X26" s="190" t="str">
        <f ca="1">CONCATENATE("(",BG39-BG38,")")</f>
        <v>(-59)</v>
      </c>
      <c r="Y26" s="155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30">
        <v>96</v>
      </c>
      <c r="BF26" s="125"/>
      <c r="BG26" s="128">
        <f t="shared" si="16"/>
        <v>2019</v>
      </c>
      <c r="BH26" s="111">
        <f ca="1">INDIRECT("'"&amp;B2&amp;"'!D96")</f>
        <v>0.67142857142857137</v>
      </c>
      <c r="BI26" s="112">
        <f ca="1">INDIRECT("'"&amp;B2&amp;"'!e96")</f>
        <v>0</v>
      </c>
      <c r="BJ26" s="112">
        <f ca="1">INDIRECT("'"&amp;B2&amp;"'!f96")</f>
        <v>0</v>
      </c>
      <c r="BK26" s="112">
        <f ca="1">INDIRECT("'"&amp;B2&amp;"'!g96")</f>
        <v>0</v>
      </c>
      <c r="BL26" s="112">
        <f ca="1">INDIRECT("'"&amp;B2&amp;"'!h96")</f>
        <v>0</v>
      </c>
      <c r="BM26" s="112">
        <f ca="1">INDIRECT("'"&amp;B2&amp;"'!i96")</f>
        <v>0</v>
      </c>
      <c r="BN26" s="112">
        <f ca="1">INDIRECT("'"&amp;B2&amp;"'!j96")</f>
        <v>0</v>
      </c>
      <c r="BO26" s="112">
        <f ca="1">INDIRECT("'"&amp;B2&amp;"'!k96")</f>
        <v>0</v>
      </c>
      <c r="BP26" s="112">
        <f ca="1">INDIRECT("'"&amp;B2&amp;"'!l96")</f>
        <v>0</v>
      </c>
      <c r="BQ26" s="112">
        <f ca="1">INDIRECT("'"&amp;B2&amp;"'!m96")</f>
        <v>0</v>
      </c>
      <c r="BR26" s="112">
        <f ca="1">INDIRECT("'"&amp;B2&amp;"'!n96")</f>
        <v>0</v>
      </c>
      <c r="BS26" s="112">
        <f ca="1">INDIRECT("'"&amp;B2&amp;"'!o96")</f>
        <v>0</v>
      </c>
      <c r="BT26" s="108"/>
      <c r="BU26" s="108"/>
      <c r="BV26" s="108"/>
      <c r="BW26" s="108"/>
      <c r="BX26" s="108">
        <v>4</v>
      </c>
      <c r="BY26" s="132" t="s">
        <v>118</v>
      </c>
      <c r="BZ26" s="133">
        <f>Справочник!J2</f>
        <v>2018</v>
      </c>
      <c r="CA26" s="24">
        <f ca="1">INDIRECT("'"&amp;B2&amp;"'!D4")</f>
        <v>3524</v>
      </c>
      <c r="CB26" s="24">
        <f ca="1">INDIRECT("'"&amp;B2&amp;"'!E4")</f>
        <v>0</v>
      </c>
      <c r="CC26" s="24">
        <f ca="1">INDIRECT("'"&amp;B2&amp;"'!f4")</f>
        <v>0</v>
      </c>
      <c r="CD26" s="24">
        <f ca="1">INDIRECT("'"&amp;B2&amp;"'!G4")</f>
        <v>0</v>
      </c>
      <c r="CE26" s="24">
        <f ca="1">INDIRECT("'"&amp;B2&amp;"'!h4")</f>
        <v>0</v>
      </c>
      <c r="CF26" s="24">
        <f ca="1">INDIRECT("'"&amp;B2&amp;"'!I4")</f>
        <v>0</v>
      </c>
      <c r="CG26" s="24">
        <f ca="1">INDIRECT("'"&amp;B2&amp;"'!J4")</f>
        <v>0</v>
      </c>
      <c r="CH26" s="24">
        <f ca="1">INDIRECT("'"&amp;B2&amp;"'!K4")</f>
        <v>0</v>
      </c>
      <c r="CI26" s="24">
        <f ca="1">INDIRECT("'"&amp;B2&amp;"'!L4")</f>
        <v>0</v>
      </c>
      <c r="CJ26" s="24">
        <f ca="1">INDIRECT("'"&amp;B2&amp;"'!M4")</f>
        <v>0</v>
      </c>
      <c r="CK26" s="24">
        <f ca="1">INDIRECT("'"&amp;B2&amp;"'!N4")</f>
        <v>0</v>
      </c>
      <c r="CL26" s="24">
        <f ca="1">INDIRECT("'"&amp;B2&amp;"'!O4")</f>
        <v>0</v>
      </c>
      <c r="CM26" s="24"/>
      <c r="CN26" s="132" t="s">
        <v>118</v>
      </c>
      <c r="CO26" s="133">
        <f>BZ26</f>
        <v>2018</v>
      </c>
      <c r="CP26" s="163">
        <f ca="1">CA26</f>
        <v>3524</v>
      </c>
      <c r="CQ26" s="162">
        <f t="shared" ref="CQ26:CQ57" ca="1" si="24">IF((CB26-CA26)&lt;=0,0,CB26-CA26)</f>
        <v>0</v>
      </c>
      <c r="CR26" s="162">
        <f t="shared" ref="CR26:CR57" ca="1" si="25">IF((CC26-CB26)&lt;=0,0,CC26-CB26)</f>
        <v>0</v>
      </c>
      <c r="CS26" s="162">
        <f t="shared" ref="CS26:CS57" ca="1" si="26">IF((CD26-CC26)&lt;=0,0,CD26-CC26)</f>
        <v>0</v>
      </c>
      <c r="CT26" s="162">
        <f t="shared" ref="CT26:CT57" ca="1" si="27">IF((CE26-CD26)&lt;=0,0,CE26-CD26)</f>
        <v>0</v>
      </c>
      <c r="CU26" s="162">
        <f t="shared" ref="CU26:CU57" ca="1" si="28">IF((CF26-CE26)&lt;=0,0,CF26-CE26)</f>
        <v>0</v>
      </c>
      <c r="CV26" s="162">
        <f t="shared" ref="CV26:CV57" ca="1" si="29">IF((CG26-CF26)&lt;=0,0,CG26-CF26)</f>
        <v>0</v>
      </c>
      <c r="CW26" s="162">
        <f t="shared" ref="CW26:CW57" ca="1" si="30">IF((CH26-CG26)&lt;=0,0,CH26-CG26)</f>
        <v>0</v>
      </c>
      <c r="CX26" s="162">
        <f t="shared" ref="CX26:CX57" ca="1" si="31">IF((CI26-CH26)&lt;=0,0,CI26-CH26)</f>
        <v>0</v>
      </c>
      <c r="CY26" s="162">
        <f t="shared" ref="CY26:CY57" ca="1" si="32">IF((CJ26-CI26)&lt;=0,0,CJ26-CI26)</f>
        <v>0</v>
      </c>
      <c r="CZ26" s="162">
        <f t="shared" ref="CZ26:CZ57" ca="1" si="33">IF((CK26-CJ26)&lt;=0,0,CK26-CJ26)</f>
        <v>0</v>
      </c>
      <c r="DA26" s="162">
        <f t="shared" ref="DA26:DA57" ca="1" si="34">IF((CL26-CK26)&lt;=0,0,CL26-CK26)</f>
        <v>0</v>
      </c>
      <c r="DB26" s="1" t="s">
        <v>516</v>
      </c>
      <c r="DC26" s="177">
        <f t="shared" ref="DC26:DN26" ca="1" si="35">IF(CP38=0,"",CP38)</f>
        <v>1368</v>
      </c>
      <c r="DD26" s="177" t="str">
        <f t="shared" ca="1" si="35"/>
        <v/>
      </c>
      <c r="DE26" s="177" t="str">
        <f t="shared" ca="1" si="35"/>
        <v/>
      </c>
      <c r="DF26" s="177" t="str">
        <f t="shared" ca="1" si="35"/>
        <v/>
      </c>
      <c r="DG26" s="177" t="str">
        <f t="shared" ca="1" si="35"/>
        <v/>
      </c>
      <c r="DH26" s="177" t="str">
        <f t="shared" ca="1" si="35"/>
        <v/>
      </c>
      <c r="DI26" s="177" t="str">
        <f t="shared" ca="1" si="35"/>
        <v/>
      </c>
      <c r="DJ26" s="177" t="str">
        <f t="shared" ca="1" si="35"/>
        <v/>
      </c>
      <c r="DK26" s="177" t="str">
        <f t="shared" ca="1" si="35"/>
        <v/>
      </c>
      <c r="DL26" s="177" t="str">
        <f t="shared" ca="1" si="35"/>
        <v/>
      </c>
      <c r="DM26" s="177" t="str">
        <f t="shared" ca="1" si="35"/>
        <v/>
      </c>
      <c r="DN26" s="177" t="str">
        <f t="shared" ca="1" si="35"/>
        <v/>
      </c>
    </row>
    <row r="27" spans="1:119" ht="15.75">
      <c r="R27" s="108"/>
      <c r="S27" s="108"/>
      <c r="T27" s="108"/>
      <c r="U27" s="108"/>
      <c r="V27" s="155"/>
      <c r="W27" s="155"/>
      <c r="X27" s="155"/>
      <c r="Y27" s="155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30">
        <v>99</v>
      </c>
      <c r="BF27" s="125" t="s">
        <v>345</v>
      </c>
      <c r="BG27" s="126">
        <f t="shared" si="16"/>
        <v>2018</v>
      </c>
      <c r="BH27" s="111">
        <f ca="1">INDIRECT("'"&amp;B2&amp;"'!D99")</f>
        <v>0.3452617627567926</v>
      </c>
      <c r="BI27" s="112">
        <f ca="1">INDIRECT("'"&amp;B2&amp;"'!e99")</f>
        <v>0</v>
      </c>
      <c r="BJ27" s="112">
        <f ca="1">INDIRECT("'"&amp;B2&amp;"'!f99")</f>
        <v>0</v>
      </c>
      <c r="BK27" s="112">
        <f ca="1">INDIRECT("'"&amp;B2&amp;"'!g99")</f>
        <v>0</v>
      </c>
      <c r="BL27" s="112">
        <f ca="1">INDIRECT("'"&amp;B2&amp;"'!h99")</f>
        <v>0</v>
      </c>
      <c r="BM27" s="112">
        <f ca="1">INDIRECT("'"&amp;B2&amp;"'!i99")</f>
        <v>0</v>
      </c>
      <c r="BN27" s="112">
        <f ca="1">INDIRECT("'"&amp;B2&amp;"'!j99")</f>
        <v>0</v>
      </c>
      <c r="BO27" s="112">
        <f ca="1">INDIRECT("'"&amp;B2&amp;"'!k99")</f>
        <v>0</v>
      </c>
      <c r="BP27" s="112">
        <f ca="1">INDIRECT("'"&amp;B2&amp;"'!l99")</f>
        <v>0</v>
      </c>
      <c r="BQ27" s="112">
        <f ca="1">INDIRECT("'"&amp;B2&amp;"'!m99")</f>
        <v>0</v>
      </c>
      <c r="BR27" s="112">
        <f ca="1">INDIRECT("'"&amp;B2&amp;"'!n99")</f>
        <v>0</v>
      </c>
      <c r="BS27" s="112">
        <f ca="1">INDIRECT("'"&amp;B2&amp;"'!o99")</f>
        <v>0</v>
      </c>
      <c r="BT27" s="108"/>
      <c r="BU27" s="108"/>
      <c r="BV27" s="108"/>
      <c r="BW27" s="108"/>
      <c r="BX27" s="108">
        <v>5</v>
      </c>
      <c r="BY27" s="132"/>
      <c r="BZ27" s="134">
        <f>Справочник!J1</f>
        <v>2019</v>
      </c>
      <c r="CA27" s="24">
        <f ca="1">INDIRECT("'"&amp;B2&amp;"'!D5")</f>
        <v>3565</v>
      </c>
      <c r="CB27" s="24">
        <f ca="1">INDIRECT("'"&amp;B2&amp;"'!E5")</f>
        <v>0</v>
      </c>
      <c r="CC27" s="24">
        <f ca="1">INDIRECT("'"&amp;B2&amp;"'!f5")</f>
        <v>0</v>
      </c>
      <c r="CD27" s="24">
        <f ca="1">INDIRECT("'"&amp;B2&amp;"'!G5")</f>
        <v>0</v>
      </c>
      <c r="CE27" s="24">
        <f ca="1">INDIRECT("'"&amp;B2&amp;"'!h5")</f>
        <v>0</v>
      </c>
      <c r="CF27" s="24">
        <f ca="1">INDIRECT("'"&amp;B2&amp;"'!I5")</f>
        <v>0</v>
      </c>
      <c r="CG27" s="24">
        <f ca="1">INDIRECT("'"&amp;B2&amp;"'!J5")</f>
        <v>0</v>
      </c>
      <c r="CH27" s="24">
        <f ca="1">INDIRECT("'"&amp;B2&amp;"'!K5")</f>
        <v>0</v>
      </c>
      <c r="CI27" s="24">
        <f ca="1">INDIRECT("'"&amp;B2&amp;"'!L5")</f>
        <v>0</v>
      </c>
      <c r="CJ27" s="24">
        <f ca="1">INDIRECT("'"&amp;B2&amp;"'!M5")</f>
        <v>0</v>
      </c>
      <c r="CK27" s="24">
        <f ca="1">INDIRECT("'"&amp;B2&amp;"'!N5")</f>
        <v>0</v>
      </c>
      <c r="CL27" s="24">
        <f ca="1">INDIRECT("'"&amp;B2&amp;"'!O5")</f>
        <v>0</v>
      </c>
      <c r="CM27" s="24"/>
      <c r="CN27" s="132"/>
      <c r="CO27" s="133">
        <f t="shared" ref="CO27:CO57" si="36">BZ27</f>
        <v>2019</v>
      </c>
      <c r="CP27" s="163">
        <f t="shared" ref="CP27:CP57" ca="1" si="37">CA27</f>
        <v>3565</v>
      </c>
      <c r="CQ27" s="162">
        <f t="shared" ca="1" si="24"/>
        <v>0</v>
      </c>
      <c r="CR27" s="162">
        <f t="shared" ca="1" si="25"/>
        <v>0</v>
      </c>
      <c r="CS27" s="162">
        <f t="shared" ca="1" si="26"/>
        <v>0</v>
      </c>
      <c r="CT27" s="162">
        <f t="shared" ca="1" si="27"/>
        <v>0</v>
      </c>
      <c r="CU27" s="162">
        <f t="shared" ca="1" si="28"/>
        <v>0</v>
      </c>
      <c r="CV27" s="162">
        <f t="shared" ca="1" si="29"/>
        <v>0</v>
      </c>
      <c r="CW27" s="162">
        <f t="shared" ca="1" si="30"/>
        <v>0</v>
      </c>
      <c r="CX27" s="162">
        <f t="shared" ca="1" si="31"/>
        <v>0</v>
      </c>
      <c r="CY27" s="162">
        <f t="shared" ca="1" si="32"/>
        <v>0</v>
      </c>
      <c r="CZ27" s="162">
        <f t="shared" ca="1" si="33"/>
        <v>0</v>
      </c>
      <c r="DA27" s="162">
        <f t="shared" ca="1" si="34"/>
        <v>0</v>
      </c>
      <c r="DC27" s="177">
        <f ca="1">IF(CA38=0,"",CA38)</f>
        <v>1368</v>
      </c>
      <c r="DD27" s="177" t="str">
        <f ca="1">IF(CB38=0,"",CB38)</f>
        <v/>
      </c>
      <c r="DE27" s="177" t="str">
        <f t="shared" ref="DE27:DN27" ca="1" si="38">IF(CC38=0,"",CC38)</f>
        <v/>
      </c>
      <c r="DF27" s="177" t="str">
        <f t="shared" ca="1" si="38"/>
        <v/>
      </c>
      <c r="DG27" s="177" t="str">
        <f t="shared" ca="1" si="38"/>
        <v/>
      </c>
      <c r="DH27" s="177" t="str">
        <f t="shared" ca="1" si="38"/>
        <v/>
      </c>
      <c r="DI27" s="177" t="str">
        <f t="shared" ca="1" si="38"/>
        <v/>
      </c>
      <c r="DJ27" s="177" t="str">
        <f t="shared" ca="1" si="38"/>
        <v/>
      </c>
      <c r="DK27" s="177" t="str">
        <f t="shared" ca="1" si="38"/>
        <v/>
      </c>
      <c r="DL27" s="177" t="str">
        <f t="shared" ca="1" si="38"/>
        <v/>
      </c>
      <c r="DM27" s="177" t="str">
        <f t="shared" ca="1" si="38"/>
        <v/>
      </c>
      <c r="DN27" s="177" t="str">
        <f t="shared" ca="1" si="38"/>
        <v/>
      </c>
      <c r="DO27" s="1" t="s">
        <v>518</v>
      </c>
    </row>
    <row r="28" spans="1:119" ht="15.75">
      <c r="R28" s="108"/>
      <c r="S28" s="108"/>
      <c r="T28" s="108"/>
      <c r="U28" s="108"/>
      <c r="V28" s="155"/>
      <c r="W28" s="155"/>
      <c r="X28" s="155"/>
      <c r="Y28" s="155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30">
        <v>102</v>
      </c>
      <c r="BF28" s="125"/>
      <c r="BG28" s="128">
        <f t="shared" si="16"/>
        <v>2019</v>
      </c>
      <c r="BH28" s="111">
        <f ca="1">INDIRECT("'"&amp;B2&amp;"'!D102")</f>
        <v>0.39121482498284144</v>
      </c>
      <c r="BI28" s="112">
        <f ca="1">INDIRECT("'"&amp;B2&amp;"'!e102")</f>
        <v>0</v>
      </c>
      <c r="BJ28" s="112">
        <f ca="1">INDIRECT("'"&amp;B2&amp;"'!f102")</f>
        <v>0</v>
      </c>
      <c r="BK28" s="112">
        <f ca="1">INDIRECT("'"&amp;B2&amp;"'!g102")</f>
        <v>0</v>
      </c>
      <c r="BL28" s="112">
        <f ca="1">INDIRECT("'"&amp;B2&amp;"'!h102")</f>
        <v>0</v>
      </c>
      <c r="BM28" s="112">
        <f ca="1">INDIRECT("'"&amp;B2&amp;"'!i102")</f>
        <v>0</v>
      </c>
      <c r="BN28" s="112">
        <f ca="1">INDIRECT("'"&amp;B2&amp;"'!j102")</f>
        <v>0</v>
      </c>
      <c r="BO28" s="112">
        <f ca="1">INDIRECT("'"&amp;B2&amp;"'!k102")</f>
        <v>0</v>
      </c>
      <c r="BP28" s="112">
        <f ca="1">INDIRECT("'"&amp;B2&amp;"'!l102")</f>
        <v>0</v>
      </c>
      <c r="BQ28" s="112">
        <f ca="1">INDIRECT("'"&amp;B2&amp;"'!m102")</f>
        <v>0</v>
      </c>
      <c r="BR28" s="112">
        <f ca="1">INDIRECT("'"&amp;B2&amp;"'!n102")</f>
        <v>0</v>
      </c>
      <c r="BS28" s="112">
        <f ca="1">INDIRECT("'"&amp;B2&amp;"'!o102")</f>
        <v>0</v>
      </c>
      <c r="BT28" s="108"/>
      <c r="BU28" s="108"/>
      <c r="BV28" s="108"/>
      <c r="BW28" s="108"/>
      <c r="BX28" s="108">
        <v>6</v>
      </c>
      <c r="BY28" s="135" t="s">
        <v>120</v>
      </c>
      <c r="BZ28" s="133">
        <f>Справочник!J2</f>
        <v>2018</v>
      </c>
      <c r="CA28" s="24">
        <f ca="1">INDIRECT("'"&amp;B2&amp;"'!D6")</f>
        <v>706</v>
      </c>
      <c r="CB28" s="24">
        <f ca="1">INDIRECT("'"&amp;B2&amp;"'!E6")</f>
        <v>0</v>
      </c>
      <c r="CC28" s="24">
        <f ca="1">INDIRECT("'"&amp;B2&amp;"'!f6")</f>
        <v>0</v>
      </c>
      <c r="CD28" s="24">
        <f ca="1">INDIRECT("'"&amp;B2&amp;"'!G6")</f>
        <v>0</v>
      </c>
      <c r="CE28" s="24">
        <f ca="1">INDIRECT("'"&amp;B2&amp;"'!h6")</f>
        <v>0</v>
      </c>
      <c r="CF28" s="24">
        <f ca="1">INDIRECT("'"&amp;B2&amp;"'!I6")</f>
        <v>0</v>
      </c>
      <c r="CG28" s="24">
        <f ca="1">INDIRECT("'"&amp;B2&amp;"'!J6")</f>
        <v>0</v>
      </c>
      <c r="CH28" s="24">
        <f ca="1">INDIRECT("'"&amp;B2&amp;"'!K6")</f>
        <v>0</v>
      </c>
      <c r="CI28" s="24">
        <f ca="1">INDIRECT("'"&amp;B2&amp;"'!L6")</f>
        <v>0</v>
      </c>
      <c r="CJ28" s="24">
        <f ca="1">INDIRECT("'"&amp;B2&amp;"'!M6")</f>
        <v>0</v>
      </c>
      <c r="CK28" s="24">
        <f ca="1">INDIRECT("'"&amp;B2&amp;"'!N6")</f>
        <v>0</v>
      </c>
      <c r="CL28" s="24">
        <f ca="1">INDIRECT("'"&amp;B2&amp;"'!O6")</f>
        <v>0</v>
      </c>
      <c r="CM28" s="24"/>
      <c r="CN28" s="135" t="s">
        <v>120</v>
      </c>
      <c r="CO28" s="133">
        <f t="shared" si="36"/>
        <v>2018</v>
      </c>
      <c r="CP28" s="163">
        <f t="shared" ca="1" si="37"/>
        <v>706</v>
      </c>
      <c r="CQ28" s="162">
        <f t="shared" ca="1" si="24"/>
        <v>0</v>
      </c>
      <c r="CR28" s="162">
        <f t="shared" ca="1" si="25"/>
        <v>0</v>
      </c>
      <c r="CS28" s="162">
        <f t="shared" ca="1" si="26"/>
        <v>0</v>
      </c>
      <c r="CT28" s="162">
        <f t="shared" ca="1" si="27"/>
        <v>0</v>
      </c>
      <c r="CU28" s="162">
        <f t="shared" ca="1" si="28"/>
        <v>0</v>
      </c>
      <c r="CV28" s="162">
        <f t="shared" ca="1" si="29"/>
        <v>0</v>
      </c>
      <c r="CW28" s="162">
        <f t="shared" ca="1" si="30"/>
        <v>0</v>
      </c>
      <c r="CX28" s="162">
        <f t="shared" ca="1" si="31"/>
        <v>0</v>
      </c>
      <c r="CY28" s="162">
        <f t="shared" ca="1" si="32"/>
        <v>0</v>
      </c>
      <c r="CZ28" s="162">
        <f t="shared" ca="1" si="33"/>
        <v>0</v>
      </c>
      <c r="DA28" s="162">
        <f t="shared" ca="1" si="34"/>
        <v>0</v>
      </c>
      <c r="DB28" s="1" t="s">
        <v>517</v>
      </c>
      <c r="DC28" s="177">
        <f t="shared" ref="DC28:DN28" ca="1" si="39">IF(CP39=0,"",CP39)</f>
        <v>1421</v>
      </c>
      <c r="DD28" s="177" t="str">
        <f t="shared" ca="1" si="39"/>
        <v/>
      </c>
      <c r="DE28" s="177" t="str">
        <f t="shared" ca="1" si="39"/>
        <v/>
      </c>
      <c r="DF28" s="177" t="str">
        <f t="shared" ca="1" si="39"/>
        <v/>
      </c>
      <c r="DG28" s="177" t="str">
        <f t="shared" ca="1" si="39"/>
        <v/>
      </c>
      <c r="DH28" s="177" t="str">
        <f t="shared" ca="1" si="39"/>
        <v/>
      </c>
      <c r="DI28" s="177" t="str">
        <f t="shared" ca="1" si="39"/>
        <v/>
      </c>
      <c r="DJ28" s="177" t="str">
        <f t="shared" ca="1" si="39"/>
        <v/>
      </c>
      <c r="DK28" s="177" t="str">
        <f t="shared" ca="1" si="39"/>
        <v/>
      </c>
      <c r="DL28" s="177" t="str">
        <f t="shared" ca="1" si="39"/>
        <v/>
      </c>
      <c r="DM28" s="177" t="str">
        <f t="shared" ca="1" si="39"/>
        <v/>
      </c>
      <c r="DN28" s="177" t="str">
        <f t="shared" ca="1" si="39"/>
        <v/>
      </c>
    </row>
    <row r="29" spans="1:119" ht="15.75">
      <c r="H29" s="333"/>
      <c r="I29" s="333"/>
      <c r="J29" s="333"/>
      <c r="K29" s="333"/>
      <c r="L29" s="333"/>
      <c r="M29" s="333"/>
      <c r="N29" s="333"/>
      <c r="O29" s="333"/>
      <c r="P29" s="333"/>
      <c r="R29" s="108"/>
      <c r="S29" s="108"/>
      <c r="T29" s="108"/>
      <c r="U29" s="108"/>
      <c r="V29" s="155"/>
      <c r="W29" s="155"/>
      <c r="X29" s="155"/>
      <c r="Y29" s="155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30">
        <v>105</v>
      </c>
      <c r="BF29" s="125" t="s">
        <v>342</v>
      </c>
      <c r="BG29" s="126">
        <f t="shared" si="16"/>
        <v>2018</v>
      </c>
      <c r="BH29" s="111">
        <f ca="1">INDIRECT("'"&amp;B2&amp;"'!D105")</f>
        <v>0.21052631578947367</v>
      </c>
      <c r="BI29" s="112">
        <f ca="1">INDIRECT("'"&amp;B2&amp;"'!e105")</f>
        <v>0</v>
      </c>
      <c r="BJ29" s="112">
        <f ca="1">INDIRECT("'"&amp;B2&amp;"'!f105")</f>
        <v>0</v>
      </c>
      <c r="BK29" s="112">
        <f ca="1">INDIRECT("'"&amp;B2&amp;"'!g105")</f>
        <v>0</v>
      </c>
      <c r="BL29" s="112">
        <f ca="1">INDIRECT("'"&amp;B2&amp;"'!h105")</f>
        <v>0</v>
      </c>
      <c r="BM29" s="112">
        <f ca="1">INDIRECT("'"&amp;B2&amp;"'!i105")</f>
        <v>0</v>
      </c>
      <c r="BN29" s="112">
        <f ca="1">INDIRECT("'"&amp;B2&amp;"'!j105")</f>
        <v>0</v>
      </c>
      <c r="BO29" s="112">
        <f ca="1">INDIRECT("'"&amp;B2&amp;"'!k105")</f>
        <v>0</v>
      </c>
      <c r="BP29" s="112">
        <f ca="1">INDIRECT("'"&amp;B2&amp;"'!l105")</f>
        <v>0</v>
      </c>
      <c r="BQ29" s="112">
        <f ca="1">INDIRECT("'"&amp;B2&amp;"'!m105")</f>
        <v>0</v>
      </c>
      <c r="BR29" s="112">
        <f ca="1">INDIRECT("'"&amp;B2&amp;"'!n105")</f>
        <v>0</v>
      </c>
      <c r="BS29" s="112">
        <f ca="1">INDIRECT("'"&amp;B2&amp;"'!o105")</f>
        <v>0</v>
      </c>
      <c r="BT29" s="108"/>
      <c r="BU29" s="108"/>
      <c r="BV29" s="108"/>
      <c r="BW29" s="108"/>
      <c r="BX29" s="108">
        <v>7</v>
      </c>
      <c r="BY29" s="135"/>
      <c r="BZ29" s="134">
        <f>Справочник!J1</f>
        <v>2019</v>
      </c>
      <c r="CA29" s="24">
        <f ca="1">INDIRECT("'"&amp;B2&amp;"'!D7")</f>
        <v>685</v>
      </c>
      <c r="CB29" s="24">
        <f ca="1">INDIRECT("'"&amp;B2&amp;"'!E7")</f>
        <v>0</v>
      </c>
      <c r="CC29" s="24">
        <f ca="1">INDIRECT("'"&amp;B2&amp;"'!f7")</f>
        <v>0</v>
      </c>
      <c r="CD29" s="24">
        <f ca="1">INDIRECT("'"&amp;B2&amp;"'!G7")</f>
        <v>0</v>
      </c>
      <c r="CE29" s="24">
        <f ca="1">INDIRECT("'"&amp;B2&amp;"'!h7")</f>
        <v>0</v>
      </c>
      <c r="CF29" s="24">
        <f ca="1">INDIRECT("'"&amp;B2&amp;"'!I7")</f>
        <v>0</v>
      </c>
      <c r="CG29" s="24">
        <f ca="1">INDIRECT("'"&amp;B2&amp;"'!J7")</f>
        <v>0</v>
      </c>
      <c r="CH29" s="24">
        <f ca="1">INDIRECT("'"&amp;B2&amp;"'!K7")</f>
        <v>0</v>
      </c>
      <c r="CI29" s="24">
        <f ca="1">INDIRECT("'"&amp;B2&amp;"'!L7")</f>
        <v>0</v>
      </c>
      <c r="CJ29" s="24">
        <f ca="1">INDIRECT("'"&amp;B2&amp;"'!M7")</f>
        <v>0</v>
      </c>
      <c r="CK29" s="24">
        <f ca="1">INDIRECT("'"&amp;B2&amp;"'!N7")</f>
        <v>0</v>
      </c>
      <c r="CL29" s="24">
        <f ca="1">INDIRECT("'"&amp;B2&amp;"'!O7")</f>
        <v>0</v>
      </c>
      <c r="CM29" s="24"/>
      <c r="CN29" s="135"/>
      <c r="CO29" s="133">
        <f t="shared" si="36"/>
        <v>2019</v>
      </c>
      <c r="CP29" s="163">
        <f t="shared" ca="1" si="37"/>
        <v>685</v>
      </c>
      <c r="CQ29" s="162">
        <f t="shared" ca="1" si="24"/>
        <v>0</v>
      </c>
      <c r="CR29" s="162">
        <f t="shared" ca="1" si="25"/>
        <v>0</v>
      </c>
      <c r="CS29" s="162">
        <f t="shared" ca="1" si="26"/>
        <v>0</v>
      </c>
      <c r="CT29" s="162">
        <f t="shared" ca="1" si="27"/>
        <v>0</v>
      </c>
      <c r="CU29" s="162">
        <f t="shared" ca="1" si="28"/>
        <v>0</v>
      </c>
      <c r="CV29" s="162">
        <f t="shared" ca="1" si="29"/>
        <v>0</v>
      </c>
      <c r="CW29" s="162">
        <f t="shared" ca="1" si="30"/>
        <v>0</v>
      </c>
      <c r="CX29" s="162">
        <f t="shared" ca="1" si="31"/>
        <v>0</v>
      </c>
      <c r="CY29" s="162">
        <f t="shared" ca="1" si="32"/>
        <v>0</v>
      </c>
      <c r="CZ29" s="162">
        <f t="shared" ca="1" si="33"/>
        <v>0</v>
      </c>
      <c r="DA29" s="162">
        <f t="shared" ca="1" si="34"/>
        <v>0</v>
      </c>
      <c r="DC29" s="177">
        <f ca="1">IF(CA39=0,"",CA39)</f>
        <v>1421</v>
      </c>
      <c r="DD29" s="177" t="str">
        <f ca="1">IF(CB39=0,"",CB39)</f>
        <v/>
      </c>
      <c r="DE29" s="177" t="str">
        <f t="shared" ref="DE29:DN29" ca="1" si="40">IF(CC39=0,"",CC39)</f>
        <v/>
      </c>
      <c r="DF29" s="177" t="str">
        <f t="shared" ca="1" si="40"/>
        <v/>
      </c>
      <c r="DG29" s="177" t="str">
        <f t="shared" ca="1" si="40"/>
        <v/>
      </c>
      <c r="DH29" s="177" t="str">
        <f t="shared" ca="1" si="40"/>
        <v/>
      </c>
      <c r="DI29" s="177" t="str">
        <f t="shared" ca="1" si="40"/>
        <v/>
      </c>
      <c r="DJ29" s="177" t="str">
        <f t="shared" ca="1" si="40"/>
        <v/>
      </c>
      <c r="DK29" s="177" t="str">
        <f t="shared" ca="1" si="40"/>
        <v/>
      </c>
      <c r="DL29" s="177" t="str">
        <f t="shared" ca="1" si="40"/>
        <v/>
      </c>
      <c r="DM29" s="177" t="str">
        <f t="shared" ca="1" si="40"/>
        <v/>
      </c>
      <c r="DN29" s="177" t="str">
        <f t="shared" ca="1" si="40"/>
        <v/>
      </c>
    </row>
    <row r="30" spans="1:119" ht="15.75">
      <c r="H30" s="148"/>
      <c r="I30" s="85"/>
      <c r="J30" s="85"/>
      <c r="K30" s="85"/>
      <c r="L30" s="85"/>
      <c r="M30" s="85"/>
      <c r="N30" s="85"/>
      <c r="O30" s="85"/>
      <c r="P30" s="85"/>
      <c r="R30" s="108"/>
      <c r="S30" s="108"/>
      <c r="T30" s="108"/>
      <c r="U30" s="108"/>
      <c r="V30" s="155"/>
      <c r="W30" s="155"/>
      <c r="X30" s="155"/>
      <c r="Y30" s="155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30">
        <v>108</v>
      </c>
      <c r="BF30" s="125"/>
      <c r="BG30" s="128">
        <f t="shared" si="16"/>
        <v>2019</v>
      </c>
      <c r="BH30" s="111">
        <f ca="1">INDIRECT("'"&amp;B2&amp;"'!D108")</f>
        <v>0.23024054982817868</v>
      </c>
      <c r="BI30" s="112">
        <f ca="1">INDIRECT("'"&amp;B2&amp;"'!e108")</f>
        <v>0</v>
      </c>
      <c r="BJ30" s="112">
        <f ca="1">INDIRECT("'"&amp;B2&amp;"'!f108")</f>
        <v>0</v>
      </c>
      <c r="BK30" s="112">
        <f ca="1">INDIRECT("'"&amp;B2&amp;"'!g108")</f>
        <v>0</v>
      </c>
      <c r="BL30" s="112">
        <f ca="1">INDIRECT("'"&amp;B2&amp;"'!h108")</f>
        <v>0</v>
      </c>
      <c r="BM30" s="112">
        <f ca="1">INDIRECT("'"&amp;B2&amp;"'!i108")</f>
        <v>0</v>
      </c>
      <c r="BN30" s="112">
        <f ca="1">INDIRECT("'"&amp;B2&amp;"'!j108")</f>
        <v>0</v>
      </c>
      <c r="BO30" s="112">
        <f ca="1">INDIRECT("'"&amp;B2&amp;"'!k108")</f>
        <v>0</v>
      </c>
      <c r="BP30" s="112">
        <f ca="1">INDIRECT("'"&amp;B2&amp;"'!l108")</f>
        <v>0</v>
      </c>
      <c r="BQ30" s="112">
        <f ca="1">INDIRECT("'"&amp;B2&amp;"'!m108")</f>
        <v>0</v>
      </c>
      <c r="BR30" s="112">
        <f ca="1">INDIRECT("'"&amp;B2&amp;"'!n108")</f>
        <v>0</v>
      </c>
      <c r="BS30" s="112">
        <f ca="1">INDIRECT("'"&amp;B2&amp;"'!o108")</f>
        <v>0</v>
      </c>
      <c r="BT30" s="108"/>
      <c r="BU30" s="108"/>
      <c r="BV30" s="108"/>
      <c r="BW30" s="108"/>
      <c r="BX30" s="108">
        <v>8</v>
      </c>
      <c r="BY30" s="136" t="s">
        <v>124</v>
      </c>
      <c r="BZ30" s="133">
        <f>Справочник!J2</f>
        <v>2018</v>
      </c>
      <c r="CA30" s="24">
        <f ca="1">INDIRECT("'"&amp;B2&amp;"'!D8")</f>
        <v>22</v>
      </c>
      <c r="CB30" s="24">
        <f ca="1">INDIRECT("'"&amp;B2&amp;"'!E8")</f>
        <v>0</v>
      </c>
      <c r="CC30" s="24">
        <f ca="1">INDIRECT("'"&amp;B2&amp;"'!f8")</f>
        <v>0</v>
      </c>
      <c r="CD30" s="24">
        <f ca="1">INDIRECT("'"&amp;B2&amp;"'!G8")</f>
        <v>0</v>
      </c>
      <c r="CE30" s="24">
        <f ca="1">INDIRECT("'"&amp;B2&amp;"'!h8")</f>
        <v>0</v>
      </c>
      <c r="CF30" s="24">
        <f ca="1">INDIRECT("'"&amp;B2&amp;"'!I8")</f>
        <v>0</v>
      </c>
      <c r="CG30" s="24">
        <f ca="1">INDIRECT("'"&amp;B2&amp;"'!J8")</f>
        <v>0</v>
      </c>
      <c r="CH30" s="24">
        <f ca="1">INDIRECT("'"&amp;B2&amp;"'!K8")</f>
        <v>0</v>
      </c>
      <c r="CI30" s="24">
        <f ca="1">INDIRECT("'"&amp;B2&amp;"'!L8")</f>
        <v>0</v>
      </c>
      <c r="CJ30" s="24">
        <f ca="1">INDIRECT("'"&amp;B2&amp;"'!M8")</f>
        <v>0</v>
      </c>
      <c r="CK30" s="24">
        <f ca="1">INDIRECT("'"&amp;B2&amp;"'!N8")</f>
        <v>0</v>
      </c>
      <c r="CL30" s="24">
        <f ca="1">INDIRECT("'"&amp;B2&amp;"'!O8")</f>
        <v>0</v>
      </c>
      <c r="CM30" s="24"/>
      <c r="CN30" s="136" t="s">
        <v>337</v>
      </c>
      <c r="CO30" s="133">
        <f t="shared" si="36"/>
        <v>2018</v>
      </c>
      <c r="CP30" s="163">
        <f t="shared" ca="1" si="37"/>
        <v>22</v>
      </c>
      <c r="CQ30" s="162">
        <f t="shared" ca="1" si="24"/>
        <v>0</v>
      </c>
      <c r="CR30" s="162">
        <f t="shared" ca="1" si="25"/>
        <v>0</v>
      </c>
      <c r="CS30" s="162">
        <f t="shared" ca="1" si="26"/>
        <v>0</v>
      </c>
      <c r="CT30" s="162">
        <f t="shared" ca="1" si="27"/>
        <v>0</v>
      </c>
      <c r="CU30" s="162">
        <f t="shared" ca="1" si="28"/>
        <v>0</v>
      </c>
      <c r="CV30" s="162">
        <f t="shared" ca="1" si="29"/>
        <v>0</v>
      </c>
      <c r="CW30" s="162">
        <f t="shared" ca="1" si="30"/>
        <v>0</v>
      </c>
      <c r="CX30" s="162">
        <f t="shared" ca="1" si="31"/>
        <v>0</v>
      </c>
      <c r="CY30" s="162">
        <f t="shared" ca="1" si="32"/>
        <v>0</v>
      </c>
      <c r="CZ30" s="162">
        <f t="shared" ca="1" si="33"/>
        <v>0</v>
      </c>
      <c r="DA30" s="162">
        <f t="shared" ca="1" si="34"/>
        <v>0</v>
      </c>
    </row>
    <row r="31" spans="1:119" ht="15.75">
      <c r="R31" s="108"/>
      <c r="S31" s="108"/>
      <c r="T31" s="108"/>
      <c r="U31" s="108"/>
      <c r="V31" s="155"/>
      <c r="W31" s="155"/>
      <c r="X31" s="155"/>
      <c r="Y31" s="155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24" t="s">
        <v>178</v>
      </c>
      <c r="BI31" s="124" t="s">
        <v>179</v>
      </c>
      <c r="BJ31" s="124" t="s">
        <v>180</v>
      </c>
      <c r="BK31" s="124" t="s">
        <v>181</v>
      </c>
      <c r="BL31" s="124" t="s">
        <v>182</v>
      </c>
      <c r="BM31" s="124" t="s">
        <v>183</v>
      </c>
      <c r="BN31" s="124" t="s">
        <v>184</v>
      </c>
      <c r="BO31" s="124" t="s">
        <v>185</v>
      </c>
      <c r="BP31" s="124" t="s">
        <v>186</v>
      </c>
      <c r="BQ31" s="124" t="s">
        <v>187</v>
      </c>
      <c r="BR31" s="124" t="s">
        <v>188</v>
      </c>
      <c r="BS31" s="124" t="s">
        <v>189</v>
      </c>
      <c r="BT31" s="108"/>
      <c r="BU31" s="108"/>
      <c r="BV31" s="108"/>
      <c r="BW31" s="108"/>
      <c r="BX31" s="108">
        <v>9</v>
      </c>
      <c r="BY31" s="136"/>
      <c r="BZ31" s="134">
        <f>Справочник!J1</f>
        <v>2019</v>
      </c>
      <c r="CA31" s="24">
        <f ca="1">INDIRECT("'"&amp;B2&amp;"'!D9")</f>
        <v>27</v>
      </c>
      <c r="CB31" s="24">
        <f ca="1">INDIRECT("'"&amp;B2&amp;"'!E9")</f>
        <v>0</v>
      </c>
      <c r="CC31" s="24">
        <f ca="1">INDIRECT("'"&amp;B2&amp;"'!f9")</f>
        <v>0</v>
      </c>
      <c r="CD31" s="24">
        <f ca="1">INDIRECT("'"&amp;B2&amp;"'!G9")</f>
        <v>0</v>
      </c>
      <c r="CE31" s="24">
        <f ca="1">INDIRECT("'"&amp;B2&amp;"'!h9")</f>
        <v>0</v>
      </c>
      <c r="CF31" s="24">
        <f ca="1">INDIRECT("'"&amp;B2&amp;"'!I9")</f>
        <v>0</v>
      </c>
      <c r="CG31" s="24">
        <f ca="1">INDIRECT("'"&amp;B2&amp;"'!J9")</f>
        <v>0</v>
      </c>
      <c r="CH31" s="24">
        <f ca="1">INDIRECT("'"&amp;B2&amp;"'!K9")</f>
        <v>0</v>
      </c>
      <c r="CI31" s="24">
        <f ca="1">INDIRECT("'"&amp;B2&amp;"'!L9")</f>
        <v>0</v>
      </c>
      <c r="CJ31" s="24">
        <f ca="1">INDIRECT("'"&amp;B2&amp;"'!M9")</f>
        <v>0</v>
      </c>
      <c r="CK31" s="24">
        <f ca="1">INDIRECT("'"&amp;B2&amp;"'!N9")</f>
        <v>0</v>
      </c>
      <c r="CL31" s="24">
        <f ca="1">INDIRECT("'"&amp;B2&amp;"'!O9")</f>
        <v>0</v>
      </c>
      <c r="CM31" s="24"/>
      <c r="CN31" s="136"/>
      <c r="CO31" s="133">
        <f t="shared" si="36"/>
        <v>2019</v>
      </c>
      <c r="CP31" s="163">
        <f t="shared" ca="1" si="37"/>
        <v>27</v>
      </c>
      <c r="CQ31" s="162">
        <f t="shared" ca="1" si="24"/>
        <v>0</v>
      </c>
      <c r="CR31" s="162">
        <f t="shared" ca="1" si="25"/>
        <v>0</v>
      </c>
      <c r="CS31" s="162">
        <f t="shared" ca="1" si="26"/>
        <v>0</v>
      </c>
      <c r="CT31" s="162">
        <f t="shared" ca="1" si="27"/>
        <v>0</v>
      </c>
      <c r="CU31" s="162">
        <f t="shared" ca="1" si="28"/>
        <v>0</v>
      </c>
      <c r="CV31" s="162">
        <f t="shared" ca="1" si="29"/>
        <v>0</v>
      </c>
      <c r="CW31" s="162">
        <f t="shared" ca="1" si="30"/>
        <v>0</v>
      </c>
      <c r="CX31" s="162">
        <f t="shared" ca="1" si="31"/>
        <v>0</v>
      </c>
      <c r="CY31" s="162">
        <f t="shared" ca="1" si="32"/>
        <v>0</v>
      </c>
      <c r="CZ31" s="162">
        <f t="shared" ca="1" si="33"/>
        <v>0</v>
      </c>
      <c r="DA31" s="162">
        <f t="shared" ca="1" si="34"/>
        <v>0</v>
      </c>
    </row>
    <row r="32" spans="1:119" ht="15.75">
      <c r="A32" s="73"/>
      <c r="C32" s="73"/>
      <c r="D32" s="73"/>
      <c r="E32" s="73"/>
      <c r="F32" s="73"/>
      <c r="G32" s="73"/>
      <c r="R32" s="108"/>
      <c r="S32" s="108"/>
      <c r="T32" s="108"/>
      <c r="U32" s="108"/>
      <c r="V32" s="155"/>
      <c r="W32" s="155"/>
      <c r="X32" s="155"/>
      <c r="Y32" s="155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 t="s">
        <v>16</v>
      </c>
      <c r="BE32" s="115"/>
      <c r="BF32" s="125" t="s">
        <v>118</v>
      </c>
      <c r="BG32" s="79">
        <f t="shared" ref="BG32:BG47" ca="1" si="41">IF(BS32&lt;&gt;0,BS32,IF(BR32&lt;&gt;0,BR32,IF(BQ32&lt;&gt;0,BQ32,IF(BP32&lt;&gt;0,BP32,IF(BO32&lt;&gt;0,BO32,IF(BN32&lt;&gt;0,BN32,IF(BM32&lt;&gt;0,BM32,IF(BL32&lt;&gt;0,BL32,IF(BK32&lt;&gt;0,BK32,IF(BJ32&lt;&gt;0,BJ32,IF(BI32&lt;&gt;0,BI32,IF(BH32&lt;&gt;0,BH32,0))))))))))))</f>
        <v>1886</v>
      </c>
      <c r="BH32" s="153">
        <f ca="1">INDIRECT("'"&amp;B2&amp;"'!D61")</f>
        <v>1886</v>
      </c>
      <c r="BI32" s="153">
        <f ca="1">INDIRECT("'"&amp;B2&amp;"'!e61")</f>
        <v>0</v>
      </c>
      <c r="BJ32" s="153">
        <f ca="1">INDIRECT("'"&amp;B2&amp;"'!f61")</f>
        <v>0</v>
      </c>
      <c r="BK32" s="153">
        <f ca="1">INDIRECT("'"&amp;B2&amp;"'!g61")</f>
        <v>0</v>
      </c>
      <c r="BL32" s="153">
        <f ca="1">INDIRECT("'"&amp;B2&amp;"'!h61")</f>
        <v>0</v>
      </c>
      <c r="BM32" s="153">
        <f ca="1">INDIRECT("'"&amp;B2&amp;"'!i61")</f>
        <v>0</v>
      </c>
      <c r="BN32" s="153">
        <f ca="1">INDIRECT("'"&amp;B2&amp;"'!j61")</f>
        <v>0</v>
      </c>
      <c r="BO32" s="153">
        <f ca="1">INDIRECT("'"&amp;B2&amp;"'!k61")</f>
        <v>0</v>
      </c>
      <c r="BP32" s="153">
        <f ca="1">INDIRECT("'"&amp;B2&amp;"'!l61")</f>
        <v>0</v>
      </c>
      <c r="BQ32" s="153">
        <f ca="1">INDIRECT("'"&amp;B2&amp;"'!m61")</f>
        <v>0</v>
      </c>
      <c r="BR32" s="153">
        <f ca="1">INDIRECT("'"&amp;B2&amp;"'!n61")</f>
        <v>0</v>
      </c>
      <c r="BS32" s="153">
        <f ca="1">INDIRECT("'"&amp;B2&amp;"'!o61")</f>
        <v>0</v>
      </c>
      <c r="BT32" s="154"/>
      <c r="BU32" s="108"/>
      <c r="BV32" s="108"/>
      <c r="BW32" s="108"/>
      <c r="BX32" s="108">
        <v>10</v>
      </c>
      <c r="BY32" s="137" t="s">
        <v>126</v>
      </c>
      <c r="BZ32" s="133">
        <f>Справочник!J2</f>
        <v>2018</v>
      </c>
      <c r="CA32" s="24">
        <f ca="1">INDIRECT("'"&amp;B2&amp;"'!D10")</f>
        <v>74</v>
      </c>
      <c r="CB32" s="24">
        <f ca="1">INDIRECT("'"&amp;B2&amp;"'!E10")</f>
        <v>0</v>
      </c>
      <c r="CC32" s="24">
        <f ca="1">INDIRECT("'"&amp;B2&amp;"'!f10")</f>
        <v>0</v>
      </c>
      <c r="CD32" s="24">
        <f ca="1">INDIRECT("'"&amp;B2&amp;"'!G10")</f>
        <v>0</v>
      </c>
      <c r="CE32" s="24">
        <f ca="1">INDIRECT("'"&amp;B2&amp;"'!h10")</f>
        <v>0</v>
      </c>
      <c r="CF32" s="24">
        <f ca="1">INDIRECT("'"&amp;B2&amp;"'!I10")</f>
        <v>0</v>
      </c>
      <c r="CG32" s="24">
        <f ca="1">INDIRECT("'"&amp;B2&amp;"'!J10")</f>
        <v>0</v>
      </c>
      <c r="CH32" s="24">
        <f ca="1">INDIRECT("'"&amp;B2&amp;"'!K10")</f>
        <v>0</v>
      </c>
      <c r="CI32" s="24">
        <f ca="1">INDIRECT("'"&amp;B2&amp;"'!L10")</f>
        <v>0</v>
      </c>
      <c r="CJ32" s="24">
        <f ca="1">INDIRECT("'"&amp;B2&amp;"'!M10")</f>
        <v>0</v>
      </c>
      <c r="CK32" s="24">
        <f ca="1">INDIRECT("'"&amp;B2&amp;"'!N10")</f>
        <v>0</v>
      </c>
      <c r="CL32" s="24">
        <f ca="1">INDIRECT("'"&amp;B2&amp;"'!O10")</f>
        <v>0</v>
      </c>
      <c r="CM32" s="24"/>
      <c r="CN32" s="137" t="s">
        <v>509</v>
      </c>
      <c r="CO32" s="133">
        <f t="shared" si="36"/>
        <v>2018</v>
      </c>
      <c r="CP32" s="163">
        <f t="shared" ca="1" si="37"/>
        <v>74</v>
      </c>
      <c r="CQ32" s="162">
        <f t="shared" ca="1" si="24"/>
        <v>0</v>
      </c>
      <c r="CR32" s="162">
        <f t="shared" ca="1" si="25"/>
        <v>0</v>
      </c>
      <c r="CS32" s="162">
        <f t="shared" ca="1" si="26"/>
        <v>0</v>
      </c>
      <c r="CT32" s="162">
        <f t="shared" ca="1" si="27"/>
        <v>0</v>
      </c>
      <c r="CU32" s="162">
        <f t="shared" ca="1" si="28"/>
        <v>0</v>
      </c>
      <c r="CV32" s="162">
        <f t="shared" ca="1" si="29"/>
        <v>0</v>
      </c>
      <c r="CW32" s="162">
        <f t="shared" ca="1" si="30"/>
        <v>0</v>
      </c>
      <c r="CX32" s="162">
        <f t="shared" ca="1" si="31"/>
        <v>0</v>
      </c>
      <c r="CY32" s="162">
        <f t="shared" ca="1" si="32"/>
        <v>0</v>
      </c>
      <c r="CZ32" s="162">
        <f t="shared" ca="1" si="33"/>
        <v>0</v>
      </c>
      <c r="DA32" s="162">
        <f t="shared" ca="1" si="34"/>
        <v>0</v>
      </c>
    </row>
    <row r="33" spans="1:105" ht="15.75">
      <c r="C33" s="73"/>
      <c r="D33" s="73"/>
      <c r="E33" s="73"/>
      <c r="F33" s="73"/>
      <c r="G33" s="73"/>
      <c r="Q33" s="149" t="s">
        <v>346</v>
      </c>
      <c r="R33" s="108"/>
      <c r="S33" s="108"/>
      <c r="T33" s="108"/>
      <c r="U33" s="108"/>
      <c r="V33" s="152" t="s">
        <v>525</v>
      </c>
      <c r="W33" s="187">
        <f ca="1">BG43</f>
        <v>47</v>
      </c>
      <c r="X33" s="155" t="str">
        <f ca="1">CONCATENATE("(",BG43-BG42,")")</f>
        <v>(-5)</v>
      </c>
      <c r="Y33" s="155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15"/>
      <c r="BF33" s="125"/>
      <c r="BG33" s="79">
        <f t="shared" ca="1" si="41"/>
        <v>1790</v>
      </c>
      <c r="BH33" s="153">
        <f ca="1">INDIRECT("'"&amp;B2&amp;"'!D64")</f>
        <v>1790</v>
      </c>
      <c r="BI33" s="153">
        <f ca="1">INDIRECT("'"&amp;B2&amp;"'!e64")</f>
        <v>0</v>
      </c>
      <c r="BJ33" s="153">
        <f ca="1">INDIRECT("'"&amp;B2&amp;"'!f64")</f>
        <v>0</v>
      </c>
      <c r="BK33" s="153">
        <f ca="1">INDIRECT("'"&amp;B2&amp;"'!g64")</f>
        <v>0</v>
      </c>
      <c r="BL33" s="153">
        <f ca="1">INDIRECT("'"&amp;B2&amp;"'!h64")</f>
        <v>0</v>
      </c>
      <c r="BM33" s="153">
        <f ca="1">INDIRECT("'"&amp;B2&amp;"'!i64")</f>
        <v>0</v>
      </c>
      <c r="BN33" s="153">
        <f ca="1">INDIRECT("'"&amp;B2&amp;"'!j64")</f>
        <v>0</v>
      </c>
      <c r="BO33" s="153">
        <f ca="1">INDIRECT("'"&amp;B2&amp;"'!k64")</f>
        <v>0</v>
      </c>
      <c r="BP33" s="153">
        <f ca="1">INDIRECT("'"&amp;B2&amp;"'!l64")</f>
        <v>0</v>
      </c>
      <c r="BQ33" s="153">
        <f ca="1">INDIRECT("'"&amp;B2&amp;"'!m64")</f>
        <v>0</v>
      </c>
      <c r="BR33" s="153">
        <f ca="1">INDIRECT("'"&amp;B2&amp;"'!n64")</f>
        <v>0</v>
      </c>
      <c r="BS33" s="153">
        <f ca="1">INDIRECT("'"&amp;B2&amp;"'!o64")</f>
        <v>0</v>
      </c>
      <c r="BT33" s="154"/>
      <c r="BU33" s="108"/>
      <c r="BV33" s="108"/>
      <c r="BW33" s="108"/>
      <c r="BX33" s="108">
        <v>11</v>
      </c>
      <c r="BY33" s="137"/>
      <c r="BZ33" s="134">
        <f>Справочник!J1</f>
        <v>2019</v>
      </c>
      <c r="CA33" s="24">
        <f ca="1">INDIRECT("'"&amp;B2&amp;"'!D11")</f>
        <v>66</v>
      </c>
      <c r="CB33" s="24">
        <f ca="1">INDIRECT("'"&amp;B2&amp;"'!E11")</f>
        <v>0</v>
      </c>
      <c r="CC33" s="24">
        <f ca="1">INDIRECT("'"&amp;B2&amp;"'!f11")</f>
        <v>0</v>
      </c>
      <c r="CD33" s="24">
        <f ca="1">INDIRECT("'"&amp;B2&amp;"'!G11")</f>
        <v>0</v>
      </c>
      <c r="CE33" s="24">
        <f ca="1">INDIRECT("'"&amp;B2&amp;"'!h11")</f>
        <v>0</v>
      </c>
      <c r="CF33" s="24">
        <f ca="1">INDIRECT("'"&amp;B2&amp;"'!I11")</f>
        <v>0</v>
      </c>
      <c r="CG33" s="24">
        <f ca="1">INDIRECT("'"&amp;B2&amp;"'!J11")</f>
        <v>0</v>
      </c>
      <c r="CH33" s="24">
        <f ca="1">INDIRECT("'"&amp;B2&amp;"'!K11")</f>
        <v>0</v>
      </c>
      <c r="CI33" s="24">
        <f ca="1">INDIRECT("'"&amp;B2&amp;"'!L11")</f>
        <v>0</v>
      </c>
      <c r="CJ33" s="24">
        <f ca="1">INDIRECT("'"&amp;B2&amp;"'!M11")</f>
        <v>0</v>
      </c>
      <c r="CK33" s="24">
        <f ca="1">INDIRECT("'"&amp;B2&amp;"'!N11")</f>
        <v>0</v>
      </c>
      <c r="CL33" s="24">
        <f ca="1">INDIRECT("'"&amp;B2&amp;"'!O11")</f>
        <v>0</v>
      </c>
      <c r="CM33" s="24"/>
      <c r="CN33" s="137"/>
      <c r="CO33" s="133">
        <f t="shared" si="36"/>
        <v>2019</v>
      </c>
      <c r="CP33" s="163">
        <f t="shared" ca="1" si="37"/>
        <v>66</v>
      </c>
      <c r="CQ33" s="162">
        <f t="shared" ca="1" si="24"/>
        <v>0</v>
      </c>
      <c r="CR33" s="162">
        <f t="shared" ca="1" si="25"/>
        <v>0</v>
      </c>
      <c r="CS33" s="162">
        <f t="shared" ca="1" si="26"/>
        <v>0</v>
      </c>
      <c r="CT33" s="162">
        <f t="shared" ca="1" si="27"/>
        <v>0</v>
      </c>
      <c r="CU33" s="162">
        <f t="shared" ca="1" si="28"/>
        <v>0</v>
      </c>
      <c r="CV33" s="162">
        <f t="shared" ca="1" si="29"/>
        <v>0</v>
      </c>
      <c r="CW33" s="162">
        <f t="shared" ca="1" si="30"/>
        <v>0</v>
      </c>
      <c r="CX33" s="162">
        <f t="shared" ca="1" si="31"/>
        <v>0</v>
      </c>
      <c r="CY33" s="162">
        <f t="shared" ca="1" si="32"/>
        <v>0</v>
      </c>
      <c r="CZ33" s="162">
        <f t="shared" ca="1" si="33"/>
        <v>0</v>
      </c>
      <c r="DA33" s="162">
        <f t="shared" ca="1" si="34"/>
        <v>0</v>
      </c>
    </row>
    <row r="34" spans="1:105" ht="15.75">
      <c r="C34" s="73"/>
      <c r="D34" s="73"/>
      <c r="E34" s="73"/>
      <c r="F34" s="73"/>
      <c r="G34" s="73"/>
      <c r="Q34" s="147"/>
      <c r="R34" s="108"/>
      <c r="S34" s="108"/>
      <c r="T34" s="108"/>
      <c r="U34" s="108"/>
      <c r="V34" s="155"/>
      <c r="W34" s="155"/>
      <c r="X34" s="155"/>
      <c r="Y34" s="155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15"/>
      <c r="BF34" s="125" t="s">
        <v>365</v>
      </c>
      <c r="BG34" s="79">
        <f t="shared" ca="1" si="41"/>
        <v>432</v>
      </c>
      <c r="BH34" s="153">
        <f ca="1">INDIRECT("'"&amp;B2&amp;"'!D67")</f>
        <v>432</v>
      </c>
      <c r="BI34" s="153">
        <f ca="1">INDIRECT("'"&amp;B2&amp;"'!e67")</f>
        <v>0</v>
      </c>
      <c r="BJ34" s="153">
        <f ca="1">INDIRECT("'"&amp;B2&amp;"'!f67")</f>
        <v>0</v>
      </c>
      <c r="BK34" s="153">
        <f ca="1">INDIRECT("'"&amp;B2&amp;"'!g67")</f>
        <v>0</v>
      </c>
      <c r="BL34" s="153">
        <f ca="1">INDIRECT("'"&amp;B2&amp;"'!h67")</f>
        <v>0</v>
      </c>
      <c r="BM34" s="153">
        <f ca="1">INDIRECT("'"&amp;B2&amp;"'!i67")</f>
        <v>0</v>
      </c>
      <c r="BN34" s="153">
        <f ca="1">INDIRECT("'"&amp;B2&amp;"'!j67")</f>
        <v>0</v>
      </c>
      <c r="BO34" s="153">
        <f ca="1">INDIRECT("'"&amp;B2&amp;"'!k67")</f>
        <v>0</v>
      </c>
      <c r="BP34" s="153">
        <f ca="1">INDIRECT("'"&amp;B2&amp;"'!l67")</f>
        <v>0</v>
      </c>
      <c r="BQ34" s="153">
        <f ca="1">INDIRECT("'"&amp;B2&amp;"'!m67")</f>
        <v>0</v>
      </c>
      <c r="BR34" s="153">
        <f ca="1">INDIRECT("'"&amp;B2&amp;"'!n67")</f>
        <v>0</v>
      </c>
      <c r="BS34" s="153">
        <f ca="1">INDIRECT("'"&amp;B2&amp;"'!o67")</f>
        <v>0</v>
      </c>
      <c r="BT34" s="154"/>
      <c r="BU34" s="108"/>
      <c r="BV34" s="108"/>
      <c r="BW34" s="108"/>
      <c r="BX34" s="108">
        <v>12</v>
      </c>
      <c r="BY34" s="138" t="s">
        <v>128</v>
      </c>
      <c r="BZ34" s="133">
        <f>Справочник!J2</f>
        <v>2018</v>
      </c>
      <c r="CA34" s="24">
        <f ca="1">INDIRECT("'"&amp;B2&amp;"'!D12")</f>
        <v>12</v>
      </c>
      <c r="CB34" s="24">
        <f ca="1">INDIRECT("'"&amp;B2&amp;"'!E12")</f>
        <v>0</v>
      </c>
      <c r="CC34" s="24">
        <f ca="1">INDIRECT("'"&amp;B2&amp;"'!f12")</f>
        <v>0</v>
      </c>
      <c r="CD34" s="24">
        <f ca="1">INDIRECT("'"&amp;B2&amp;"'!G12")</f>
        <v>0</v>
      </c>
      <c r="CE34" s="24">
        <f ca="1">INDIRECT("'"&amp;B2&amp;"'!h12")</f>
        <v>0</v>
      </c>
      <c r="CF34" s="24">
        <f ca="1">INDIRECT("'"&amp;B2&amp;"'!I12")</f>
        <v>0</v>
      </c>
      <c r="CG34" s="24">
        <f ca="1">INDIRECT("'"&amp;B2&amp;"'!J12")</f>
        <v>0</v>
      </c>
      <c r="CH34" s="24">
        <f ca="1">INDIRECT("'"&amp;B2&amp;"'!K12")</f>
        <v>0</v>
      </c>
      <c r="CI34" s="24">
        <f ca="1">INDIRECT("'"&amp;B2&amp;"'!L12")</f>
        <v>0</v>
      </c>
      <c r="CJ34" s="24">
        <f ca="1">INDIRECT("'"&amp;B2&amp;"'!M12")</f>
        <v>0</v>
      </c>
      <c r="CK34" s="24">
        <f ca="1">INDIRECT("'"&amp;B2&amp;"'!N12")</f>
        <v>0</v>
      </c>
      <c r="CL34" s="24">
        <f ca="1">INDIRECT("'"&amp;B2&amp;"'!O12")</f>
        <v>0</v>
      </c>
      <c r="CM34" s="24"/>
      <c r="CN34" s="138" t="s">
        <v>128</v>
      </c>
      <c r="CO34" s="133">
        <f t="shared" si="36"/>
        <v>2018</v>
      </c>
      <c r="CP34" s="163">
        <f t="shared" ca="1" si="37"/>
        <v>12</v>
      </c>
      <c r="CQ34" s="162">
        <f t="shared" ca="1" si="24"/>
        <v>0</v>
      </c>
      <c r="CR34" s="162">
        <f t="shared" ca="1" si="25"/>
        <v>0</v>
      </c>
      <c r="CS34" s="162">
        <f t="shared" ca="1" si="26"/>
        <v>0</v>
      </c>
      <c r="CT34" s="162">
        <f t="shared" ca="1" si="27"/>
        <v>0</v>
      </c>
      <c r="CU34" s="162">
        <f t="shared" ca="1" si="28"/>
        <v>0</v>
      </c>
      <c r="CV34" s="162">
        <f t="shared" ca="1" si="29"/>
        <v>0</v>
      </c>
      <c r="CW34" s="162">
        <f t="shared" ca="1" si="30"/>
        <v>0</v>
      </c>
      <c r="CX34" s="162">
        <f t="shared" ca="1" si="31"/>
        <v>0</v>
      </c>
      <c r="CY34" s="162">
        <f t="shared" ca="1" si="32"/>
        <v>0</v>
      </c>
      <c r="CZ34" s="162">
        <f t="shared" ca="1" si="33"/>
        <v>0</v>
      </c>
      <c r="DA34" s="162">
        <f t="shared" ca="1" si="34"/>
        <v>0</v>
      </c>
    </row>
    <row r="35" spans="1:105" ht="15.75">
      <c r="A35" s="1"/>
      <c r="C35" s="73"/>
      <c r="D35" s="73"/>
      <c r="E35" s="73"/>
      <c r="F35" s="73"/>
      <c r="G35" s="73"/>
      <c r="H35" s="147"/>
      <c r="R35" s="108"/>
      <c r="S35" s="108"/>
      <c r="T35" s="108"/>
      <c r="U35" s="108"/>
      <c r="V35" s="155"/>
      <c r="W35" s="155"/>
      <c r="X35" s="155"/>
      <c r="Y35" s="155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15"/>
      <c r="BF35" s="125"/>
      <c r="BG35" s="79">
        <f t="shared" ca="1" si="41"/>
        <v>309</v>
      </c>
      <c r="BH35" s="153">
        <f ca="1">INDIRECT("'"&amp;B2&amp;"'!D70")</f>
        <v>309</v>
      </c>
      <c r="BI35" s="153">
        <f ca="1">INDIRECT("'"&amp;B2&amp;"'!e70")</f>
        <v>0</v>
      </c>
      <c r="BJ35" s="153">
        <f ca="1">INDIRECT("'"&amp;B2&amp;"'!f70")</f>
        <v>0</v>
      </c>
      <c r="BK35" s="153">
        <f ca="1">INDIRECT("'"&amp;B2&amp;"'!g70")</f>
        <v>0</v>
      </c>
      <c r="BL35" s="153">
        <f ca="1">INDIRECT("'"&amp;B2&amp;"'!h70")</f>
        <v>0</v>
      </c>
      <c r="BM35" s="153">
        <f ca="1">INDIRECT("'"&amp;B2&amp;"'!i70")</f>
        <v>0</v>
      </c>
      <c r="BN35" s="153">
        <f ca="1">INDIRECT("'"&amp;B2&amp;"'!j70")</f>
        <v>0</v>
      </c>
      <c r="BO35" s="153">
        <f ca="1">INDIRECT("'"&amp;B2&amp;"'!k70")</f>
        <v>0</v>
      </c>
      <c r="BP35" s="153">
        <f ca="1">INDIRECT("'"&amp;B2&amp;"'!l70")</f>
        <v>0</v>
      </c>
      <c r="BQ35" s="153">
        <f ca="1">INDIRECT("'"&amp;B2&amp;"'!m70")</f>
        <v>0</v>
      </c>
      <c r="BR35" s="153">
        <f ca="1">INDIRECT("'"&amp;B2&amp;"'!n70")</f>
        <v>0</v>
      </c>
      <c r="BS35" s="153">
        <f ca="1">INDIRECT("'"&amp;B2&amp;"'!o70")</f>
        <v>0</v>
      </c>
      <c r="BT35" s="154"/>
      <c r="BU35" s="108"/>
      <c r="BV35" s="108"/>
      <c r="BW35" s="108"/>
      <c r="BX35" s="108">
        <v>13</v>
      </c>
      <c r="BY35" s="138"/>
      <c r="BZ35" s="134">
        <f>Справочник!J1</f>
        <v>2019</v>
      </c>
      <c r="CA35" s="24">
        <f ca="1">INDIRECT("'"&amp;B2&amp;"'!D13")</f>
        <v>11</v>
      </c>
      <c r="CB35" s="24">
        <f ca="1">INDIRECT("'"&amp;B2&amp;"'!E13")</f>
        <v>0</v>
      </c>
      <c r="CC35" s="24">
        <f ca="1">INDIRECT("'"&amp;B2&amp;"'!f13")</f>
        <v>0</v>
      </c>
      <c r="CD35" s="24">
        <f ca="1">INDIRECT("'"&amp;B2&amp;"'!G13")</f>
        <v>0</v>
      </c>
      <c r="CE35" s="24">
        <f ca="1">INDIRECT("'"&amp;B2&amp;"'!h13")</f>
        <v>0</v>
      </c>
      <c r="CF35" s="24">
        <f ca="1">INDIRECT("'"&amp;B2&amp;"'!I13")</f>
        <v>0</v>
      </c>
      <c r="CG35" s="24">
        <f ca="1">INDIRECT("'"&amp;B2&amp;"'!J13")</f>
        <v>0</v>
      </c>
      <c r="CH35" s="24">
        <f ca="1">INDIRECT("'"&amp;B2&amp;"'!K13")</f>
        <v>0</v>
      </c>
      <c r="CI35" s="24">
        <f ca="1">INDIRECT("'"&amp;B2&amp;"'!L13")</f>
        <v>0</v>
      </c>
      <c r="CJ35" s="24">
        <f ca="1">INDIRECT("'"&amp;B2&amp;"'!M13")</f>
        <v>0</v>
      </c>
      <c r="CK35" s="24">
        <f ca="1">INDIRECT("'"&amp;B2&amp;"'!N13")</f>
        <v>0</v>
      </c>
      <c r="CL35" s="24">
        <f ca="1">INDIRECT("'"&amp;B2&amp;"'!O13")</f>
        <v>0</v>
      </c>
      <c r="CM35" s="24"/>
      <c r="CN35" s="138"/>
      <c r="CO35" s="133">
        <f t="shared" si="36"/>
        <v>2019</v>
      </c>
      <c r="CP35" s="163">
        <f t="shared" ca="1" si="37"/>
        <v>11</v>
      </c>
      <c r="CQ35" s="162">
        <f t="shared" ca="1" si="24"/>
        <v>0</v>
      </c>
      <c r="CR35" s="162">
        <f t="shared" ca="1" si="25"/>
        <v>0</v>
      </c>
      <c r="CS35" s="162">
        <f t="shared" ca="1" si="26"/>
        <v>0</v>
      </c>
      <c r="CT35" s="162">
        <f t="shared" ca="1" si="27"/>
        <v>0</v>
      </c>
      <c r="CU35" s="162">
        <f t="shared" ca="1" si="28"/>
        <v>0</v>
      </c>
      <c r="CV35" s="162">
        <f t="shared" ca="1" si="29"/>
        <v>0</v>
      </c>
      <c r="CW35" s="162">
        <f t="shared" ca="1" si="30"/>
        <v>0</v>
      </c>
      <c r="CX35" s="162">
        <f t="shared" ca="1" si="31"/>
        <v>0</v>
      </c>
      <c r="CY35" s="162">
        <f t="shared" ca="1" si="32"/>
        <v>0</v>
      </c>
      <c r="CZ35" s="162">
        <f t="shared" ca="1" si="33"/>
        <v>0</v>
      </c>
      <c r="DA35" s="162">
        <f t="shared" ca="1" si="34"/>
        <v>0</v>
      </c>
    </row>
    <row r="36" spans="1:105" ht="15.75">
      <c r="A36" s="1"/>
      <c r="C36" s="73"/>
      <c r="D36" s="73"/>
      <c r="E36" s="73"/>
      <c r="F36" s="73"/>
      <c r="G36" s="73"/>
      <c r="H36" s="147"/>
      <c r="R36" s="108"/>
      <c r="S36" s="108"/>
      <c r="T36" s="108"/>
      <c r="U36" s="108"/>
      <c r="V36" s="155"/>
      <c r="W36" s="155"/>
      <c r="X36" s="155"/>
      <c r="Y36" s="155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15"/>
      <c r="BF36" s="125" t="s">
        <v>351</v>
      </c>
      <c r="BG36" s="79">
        <f t="shared" ca="1" si="41"/>
        <v>18</v>
      </c>
      <c r="BH36" s="153">
        <f ca="1">INDIRECT("'"&amp;B2&amp;"'!D73")</f>
        <v>18</v>
      </c>
      <c r="BI36" s="153">
        <f ca="1">INDIRECT("'"&amp;B2&amp;"'!e73")</f>
        <v>0</v>
      </c>
      <c r="BJ36" s="153">
        <f ca="1">INDIRECT("'"&amp;B2&amp;"'!f73")</f>
        <v>0</v>
      </c>
      <c r="BK36" s="153">
        <f ca="1">INDIRECT("'"&amp;B2&amp;"'!g73")</f>
        <v>0</v>
      </c>
      <c r="BL36" s="153">
        <f ca="1">INDIRECT("'"&amp;B2&amp;"'!h73")</f>
        <v>0</v>
      </c>
      <c r="BM36" s="153">
        <f ca="1">INDIRECT("'"&amp;B2&amp;"'!i73")</f>
        <v>0</v>
      </c>
      <c r="BN36" s="153">
        <f ca="1">INDIRECT("'"&amp;B2&amp;"'!j73")</f>
        <v>0</v>
      </c>
      <c r="BO36" s="153">
        <f ca="1">INDIRECT("'"&amp;B2&amp;"'!k73")</f>
        <v>0</v>
      </c>
      <c r="BP36" s="153">
        <f ca="1">INDIRECT("'"&amp;B2&amp;"'!l73")</f>
        <v>0</v>
      </c>
      <c r="BQ36" s="153">
        <f ca="1">INDIRECT("'"&amp;B2&amp;"'!m73")</f>
        <v>0</v>
      </c>
      <c r="BR36" s="153">
        <f ca="1">INDIRECT("'"&amp;B2&amp;"'!n73")</f>
        <v>0</v>
      </c>
      <c r="BS36" s="153">
        <f ca="1">INDIRECT("'"&amp;B2&amp;"'!o73")</f>
        <v>0</v>
      </c>
      <c r="BT36" s="154"/>
      <c r="BU36" s="108"/>
      <c r="BV36" s="108"/>
      <c r="BW36" s="108"/>
      <c r="BX36" s="108">
        <v>14</v>
      </c>
      <c r="BY36" s="132" t="s">
        <v>129</v>
      </c>
      <c r="BZ36" s="133">
        <f>Справочник!J2</f>
        <v>2018</v>
      </c>
      <c r="CA36" s="24">
        <f ca="1">INDIRECT("'"&amp;B2&amp;"'!D14")</f>
        <v>5</v>
      </c>
      <c r="CB36" s="24">
        <f ca="1">INDIRECT("'"&amp;B2&amp;"'!E14")</f>
        <v>0</v>
      </c>
      <c r="CC36" s="24">
        <f ca="1">INDIRECT("'"&amp;B2&amp;"'!f14")</f>
        <v>0</v>
      </c>
      <c r="CD36" s="24">
        <f ca="1">INDIRECT("'"&amp;B2&amp;"'!G14")</f>
        <v>0</v>
      </c>
      <c r="CE36" s="24">
        <f ca="1">INDIRECT("'"&amp;B2&amp;"'!h14")</f>
        <v>0</v>
      </c>
      <c r="CF36" s="24">
        <f ca="1">INDIRECT("'"&amp;B2&amp;"'!I14")</f>
        <v>0</v>
      </c>
      <c r="CG36" s="24">
        <f ca="1">INDIRECT("'"&amp;B2&amp;"'!J14")</f>
        <v>0</v>
      </c>
      <c r="CH36" s="24">
        <f ca="1">INDIRECT("'"&amp;B2&amp;"'!K14")</f>
        <v>0</v>
      </c>
      <c r="CI36" s="24">
        <f ca="1">INDIRECT("'"&amp;B2&amp;"'!L14")</f>
        <v>0</v>
      </c>
      <c r="CJ36" s="24">
        <f ca="1">INDIRECT("'"&amp;B2&amp;"'!M14")</f>
        <v>0</v>
      </c>
      <c r="CK36" s="24">
        <f ca="1">INDIRECT("'"&amp;B2&amp;"'!N14")</f>
        <v>0</v>
      </c>
      <c r="CL36" s="24">
        <f ca="1">INDIRECT("'"&amp;B2&amp;"'!O14")</f>
        <v>0</v>
      </c>
      <c r="CM36" s="24"/>
      <c r="CN36" s="132" t="s">
        <v>344</v>
      </c>
      <c r="CO36" s="133">
        <f t="shared" si="36"/>
        <v>2018</v>
      </c>
      <c r="CP36" s="163">
        <f t="shared" ca="1" si="37"/>
        <v>5</v>
      </c>
      <c r="CQ36" s="162">
        <f t="shared" ca="1" si="24"/>
        <v>0</v>
      </c>
      <c r="CR36" s="162">
        <f t="shared" ca="1" si="25"/>
        <v>0</v>
      </c>
      <c r="CS36" s="162">
        <f t="shared" ca="1" si="26"/>
        <v>0</v>
      </c>
      <c r="CT36" s="162">
        <f t="shared" ca="1" si="27"/>
        <v>0</v>
      </c>
      <c r="CU36" s="162">
        <f t="shared" ca="1" si="28"/>
        <v>0</v>
      </c>
      <c r="CV36" s="162">
        <f t="shared" ca="1" si="29"/>
        <v>0</v>
      </c>
      <c r="CW36" s="162">
        <f t="shared" ca="1" si="30"/>
        <v>0</v>
      </c>
      <c r="CX36" s="162">
        <f t="shared" ca="1" si="31"/>
        <v>0</v>
      </c>
      <c r="CY36" s="162">
        <f t="shared" ca="1" si="32"/>
        <v>0</v>
      </c>
      <c r="CZ36" s="162">
        <f t="shared" ca="1" si="33"/>
        <v>0</v>
      </c>
      <c r="DA36" s="162">
        <f t="shared" ca="1" si="34"/>
        <v>0</v>
      </c>
    </row>
    <row r="37" spans="1:105" ht="15.75">
      <c r="A37" s="1"/>
      <c r="C37" s="73"/>
      <c r="D37" s="73"/>
      <c r="E37" s="73"/>
      <c r="F37" s="73"/>
      <c r="G37" s="73"/>
      <c r="H37" s="333"/>
      <c r="I37" s="333"/>
      <c r="J37" s="333"/>
      <c r="K37" s="333"/>
      <c r="L37" s="333"/>
      <c r="M37" s="333"/>
      <c r="N37" s="333"/>
      <c r="O37" s="333"/>
      <c r="P37" s="333"/>
      <c r="R37" s="108"/>
      <c r="S37" s="108"/>
      <c r="T37" s="108"/>
      <c r="U37" s="108"/>
      <c r="V37" s="155"/>
      <c r="W37" s="155"/>
      <c r="X37" s="155"/>
      <c r="Y37" s="155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15"/>
      <c r="BF37" s="125"/>
      <c r="BG37" s="79">
        <f t="shared" ca="1" si="41"/>
        <v>19</v>
      </c>
      <c r="BH37" s="153">
        <f ca="1">INDIRECT("'"&amp;B2&amp;"'!D76")</f>
        <v>19</v>
      </c>
      <c r="BI37" s="153">
        <f ca="1">INDIRECT("'"&amp;B2&amp;"'!e76")</f>
        <v>0</v>
      </c>
      <c r="BJ37" s="153">
        <f ca="1">INDIRECT("'"&amp;B2&amp;"'!f76")</f>
        <v>0</v>
      </c>
      <c r="BK37" s="153">
        <f ca="1">INDIRECT("'"&amp;B2&amp;"'!g76")</f>
        <v>0</v>
      </c>
      <c r="BL37" s="153">
        <f ca="1">INDIRECT("'"&amp;B2&amp;"'!h76")</f>
        <v>0</v>
      </c>
      <c r="BM37" s="153">
        <f ca="1">INDIRECT("'"&amp;B2&amp;"'!i76")</f>
        <v>0</v>
      </c>
      <c r="BN37" s="153">
        <f ca="1">INDIRECT("'"&amp;B2&amp;"'!j76")</f>
        <v>0</v>
      </c>
      <c r="BO37" s="153">
        <f ca="1">INDIRECT("'"&amp;B2&amp;"'!k76")</f>
        <v>0</v>
      </c>
      <c r="BP37" s="153">
        <f ca="1">INDIRECT("'"&amp;B2&amp;"'!l76")</f>
        <v>0</v>
      </c>
      <c r="BQ37" s="153">
        <f ca="1">INDIRECT("'"&amp;B2&amp;"'!m76")</f>
        <v>0</v>
      </c>
      <c r="BR37" s="153">
        <f ca="1">INDIRECT("'"&amp;B2&amp;"'!n76")</f>
        <v>0</v>
      </c>
      <c r="BS37" s="153">
        <f ca="1">INDIRECT("'"&amp;B2&amp;"'!o76")</f>
        <v>0</v>
      </c>
      <c r="BT37" s="154"/>
      <c r="BU37" s="108"/>
      <c r="BV37" s="108"/>
      <c r="BW37" s="108"/>
      <c r="BX37" s="108">
        <v>15</v>
      </c>
      <c r="BY37" s="132"/>
      <c r="BZ37" s="134">
        <f>Справочник!J1</f>
        <v>2019</v>
      </c>
      <c r="CA37" s="24">
        <f ca="1">INDIRECT("'"&amp;B2&amp;"'!D15")</f>
        <v>2</v>
      </c>
      <c r="CB37" s="24">
        <f ca="1">INDIRECT("'"&amp;B2&amp;"'!E15")</f>
        <v>0</v>
      </c>
      <c r="CC37" s="24">
        <f ca="1">INDIRECT("'"&amp;B2&amp;"'!f15")</f>
        <v>0</v>
      </c>
      <c r="CD37" s="24">
        <f ca="1">INDIRECT("'"&amp;B2&amp;"'!G15")</f>
        <v>0</v>
      </c>
      <c r="CE37" s="24">
        <f ca="1">INDIRECT("'"&amp;B2&amp;"'!h15")</f>
        <v>0</v>
      </c>
      <c r="CF37" s="24">
        <f ca="1">INDIRECT("'"&amp;B2&amp;"'!I15")</f>
        <v>0</v>
      </c>
      <c r="CG37" s="24">
        <f ca="1">INDIRECT("'"&amp;B2&amp;"'!J15")</f>
        <v>0</v>
      </c>
      <c r="CH37" s="24">
        <f ca="1">INDIRECT("'"&amp;B2&amp;"'!K15")</f>
        <v>0</v>
      </c>
      <c r="CI37" s="24">
        <f ca="1">INDIRECT("'"&amp;B2&amp;"'!L15")</f>
        <v>0</v>
      </c>
      <c r="CJ37" s="24">
        <f ca="1">INDIRECT("'"&amp;B2&amp;"'!M15")</f>
        <v>0</v>
      </c>
      <c r="CK37" s="24">
        <f ca="1">INDIRECT("'"&amp;B2&amp;"'!N15")</f>
        <v>0</v>
      </c>
      <c r="CL37" s="24">
        <f ca="1">INDIRECT("'"&amp;B2&amp;"'!O15")</f>
        <v>0</v>
      </c>
      <c r="CM37" s="24"/>
      <c r="CN37" s="132"/>
      <c r="CO37" s="133">
        <f t="shared" si="36"/>
        <v>2019</v>
      </c>
      <c r="CP37" s="163">
        <f t="shared" ca="1" si="37"/>
        <v>2</v>
      </c>
      <c r="CQ37" s="162">
        <f t="shared" ca="1" si="24"/>
        <v>0</v>
      </c>
      <c r="CR37" s="162">
        <f t="shared" ca="1" si="25"/>
        <v>0</v>
      </c>
      <c r="CS37" s="162">
        <f t="shared" ca="1" si="26"/>
        <v>0</v>
      </c>
      <c r="CT37" s="162">
        <f t="shared" ca="1" si="27"/>
        <v>0</v>
      </c>
      <c r="CU37" s="162">
        <f t="shared" ca="1" si="28"/>
        <v>0</v>
      </c>
      <c r="CV37" s="162">
        <f t="shared" ca="1" si="29"/>
        <v>0</v>
      </c>
      <c r="CW37" s="162">
        <f t="shared" ca="1" si="30"/>
        <v>0</v>
      </c>
      <c r="CX37" s="162">
        <f t="shared" ca="1" si="31"/>
        <v>0</v>
      </c>
      <c r="CY37" s="162">
        <f t="shared" ca="1" si="32"/>
        <v>0</v>
      </c>
      <c r="CZ37" s="162">
        <f t="shared" ca="1" si="33"/>
        <v>0</v>
      </c>
      <c r="DA37" s="162">
        <f t="shared" ca="1" si="34"/>
        <v>0</v>
      </c>
    </row>
    <row r="38" spans="1:105" ht="15.75">
      <c r="A38" s="1"/>
      <c r="H38" s="113"/>
      <c r="I38" s="85"/>
      <c r="J38" s="85"/>
      <c r="K38" s="85"/>
      <c r="L38" s="85"/>
      <c r="M38" s="85"/>
      <c r="N38" s="85"/>
      <c r="O38" s="85"/>
      <c r="P38" s="85"/>
      <c r="R38" s="108"/>
      <c r="S38" s="108"/>
      <c r="T38" s="108"/>
      <c r="U38" s="108"/>
      <c r="V38" s="155"/>
      <c r="W38" s="155"/>
      <c r="X38" s="155"/>
      <c r="Y38" s="155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15"/>
      <c r="BF38" s="125" t="s">
        <v>374</v>
      </c>
      <c r="BG38" s="79">
        <f t="shared" ca="1" si="41"/>
        <v>62</v>
      </c>
      <c r="BH38" s="153">
        <f ca="1">INDIRECT("'"&amp;B2&amp;"'!D79")</f>
        <v>62</v>
      </c>
      <c r="BI38" s="153">
        <f ca="1">INDIRECT("'"&amp;B2&amp;"'!e79")</f>
        <v>0</v>
      </c>
      <c r="BJ38" s="153">
        <f ca="1">INDIRECT("'"&amp;B2&amp;"'!f79")</f>
        <v>0</v>
      </c>
      <c r="BK38" s="153">
        <f ca="1">INDIRECT("'"&amp;B2&amp;"'!g79")</f>
        <v>0</v>
      </c>
      <c r="BL38" s="153">
        <f ca="1">INDIRECT("'"&amp;B2&amp;"'!h79")</f>
        <v>0</v>
      </c>
      <c r="BM38" s="153">
        <f ca="1">INDIRECT("'"&amp;B2&amp;"'!i79")</f>
        <v>0</v>
      </c>
      <c r="BN38" s="153">
        <f ca="1">INDIRECT("'"&amp;B2&amp;"'!j79")</f>
        <v>0</v>
      </c>
      <c r="BO38" s="153">
        <f ca="1">INDIRECT("'"&amp;B2&amp;"'!k79")</f>
        <v>0</v>
      </c>
      <c r="BP38" s="153">
        <f ca="1">INDIRECT("'"&amp;B2&amp;"'!l79")</f>
        <v>0</v>
      </c>
      <c r="BQ38" s="153">
        <f ca="1">INDIRECT("'"&amp;B2&amp;"'!m79")</f>
        <v>0</v>
      </c>
      <c r="BR38" s="153">
        <f ca="1">INDIRECT("'"&amp;B2&amp;"'!n79")</f>
        <v>0</v>
      </c>
      <c r="BS38" s="153">
        <f ca="1">INDIRECT("'"&amp;B2&amp;"'!o79")</f>
        <v>0</v>
      </c>
      <c r="BT38" s="154"/>
      <c r="BU38" s="108"/>
      <c r="BV38" s="108"/>
      <c r="BW38" s="108"/>
      <c r="BX38" s="108">
        <v>16</v>
      </c>
      <c r="BY38" s="135" t="s">
        <v>168</v>
      </c>
      <c r="BZ38" s="133">
        <f>Справочник!J2</f>
        <v>2018</v>
      </c>
      <c r="CA38" s="24">
        <f ca="1">INDIRECT("'"&amp;B2&amp;"'!D16")</f>
        <v>1368</v>
      </c>
      <c r="CB38" s="24">
        <f ca="1">INDIRECT("'"&amp;B2&amp;"'!E16")</f>
        <v>0</v>
      </c>
      <c r="CC38" s="24">
        <f ca="1">INDIRECT("'"&amp;B2&amp;"'!f16")</f>
        <v>0</v>
      </c>
      <c r="CD38" s="24">
        <f ca="1">INDIRECT("'"&amp;B2&amp;"'!G16")</f>
        <v>0</v>
      </c>
      <c r="CE38" s="24">
        <f ca="1">INDIRECT("'"&amp;B2&amp;"'!h16")</f>
        <v>0</v>
      </c>
      <c r="CF38" s="24">
        <f ca="1">INDIRECT("'"&amp;B2&amp;"'!I16")</f>
        <v>0</v>
      </c>
      <c r="CG38" s="24">
        <f ca="1">INDIRECT("'"&amp;B2&amp;"'!J16")</f>
        <v>0</v>
      </c>
      <c r="CH38" s="24">
        <f ca="1">INDIRECT("'"&amp;B2&amp;"'!K16")</f>
        <v>0</v>
      </c>
      <c r="CI38" s="24">
        <f ca="1">INDIRECT("'"&amp;B2&amp;"'!L16")</f>
        <v>0</v>
      </c>
      <c r="CJ38" s="24">
        <f ca="1">INDIRECT("'"&amp;B2&amp;"'!M16")</f>
        <v>0</v>
      </c>
      <c r="CK38" s="24">
        <f ca="1">INDIRECT("'"&amp;B2&amp;"'!N16")</f>
        <v>0</v>
      </c>
      <c r="CL38" s="24">
        <f ca="1">INDIRECT("'"&amp;B2&amp;"'!O16")</f>
        <v>0</v>
      </c>
      <c r="CM38" s="24"/>
      <c r="CN38" s="135" t="s">
        <v>345</v>
      </c>
      <c r="CO38" s="133">
        <f t="shared" si="36"/>
        <v>2018</v>
      </c>
      <c r="CP38" s="163">
        <f t="shared" ca="1" si="37"/>
        <v>1368</v>
      </c>
      <c r="CQ38" s="162">
        <f t="shared" ca="1" si="24"/>
        <v>0</v>
      </c>
      <c r="CR38" s="162">
        <f t="shared" ca="1" si="25"/>
        <v>0</v>
      </c>
      <c r="CS38" s="162">
        <f t="shared" ca="1" si="26"/>
        <v>0</v>
      </c>
      <c r="CT38" s="162">
        <f t="shared" ca="1" si="27"/>
        <v>0</v>
      </c>
      <c r="CU38" s="162">
        <f t="shared" ca="1" si="28"/>
        <v>0</v>
      </c>
      <c r="CV38" s="162">
        <f t="shared" ca="1" si="29"/>
        <v>0</v>
      </c>
      <c r="CW38" s="162">
        <f t="shared" ca="1" si="30"/>
        <v>0</v>
      </c>
      <c r="CX38" s="162">
        <f t="shared" ca="1" si="31"/>
        <v>0</v>
      </c>
      <c r="CY38" s="162">
        <f t="shared" ca="1" si="32"/>
        <v>0</v>
      </c>
      <c r="CZ38" s="162">
        <f t="shared" ca="1" si="33"/>
        <v>0</v>
      </c>
      <c r="DA38" s="162">
        <f t="shared" ca="1" si="34"/>
        <v>0</v>
      </c>
    </row>
    <row r="39" spans="1:105" ht="15.75">
      <c r="R39" s="108"/>
      <c r="S39" s="108"/>
      <c r="T39" s="108"/>
      <c r="U39" s="108"/>
      <c r="V39" s="155"/>
      <c r="W39" s="155"/>
      <c r="X39" s="155"/>
      <c r="Y39" s="155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15"/>
      <c r="BF39" s="125"/>
      <c r="BG39" s="79">
        <f t="shared" ca="1" si="41"/>
        <v>3</v>
      </c>
      <c r="BH39" s="153">
        <f ca="1">INDIRECT("'"&amp;B2&amp;"'!D80")</f>
        <v>3</v>
      </c>
      <c r="BI39" s="153">
        <f ca="1">INDIRECT("'"&amp;B2&amp;"'!e82")</f>
        <v>0</v>
      </c>
      <c r="BJ39" s="153">
        <f ca="1">INDIRECT("'"&amp;B2&amp;"'!f82")</f>
        <v>0</v>
      </c>
      <c r="BK39" s="153">
        <f ca="1">INDIRECT("'"&amp;B2&amp;"'!g82")</f>
        <v>0</v>
      </c>
      <c r="BL39" s="153">
        <f ca="1">INDIRECT("'"&amp;B2&amp;"'!h82")</f>
        <v>0</v>
      </c>
      <c r="BM39" s="153">
        <f ca="1">INDIRECT("'"&amp;B2&amp;"'!i82")</f>
        <v>0</v>
      </c>
      <c r="BN39" s="153">
        <f ca="1">INDIRECT("'"&amp;B2&amp;"'!j82")</f>
        <v>0</v>
      </c>
      <c r="BO39" s="153">
        <f ca="1">INDIRECT("'"&amp;B2&amp;"'!k82")</f>
        <v>0</v>
      </c>
      <c r="BP39" s="153">
        <f ca="1">INDIRECT("'"&amp;B2&amp;"'!l82")</f>
        <v>0</v>
      </c>
      <c r="BQ39" s="153">
        <f ca="1">INDIRECT("'"&amp;B2&amp;"'!m82")</f>
        <v>0</v>
      </c>
      <c r="BR39" s="153">
        <f ca="1">INDIRECT("'"&amp;B2&amp;"'!n82")</f>
        <v>0</v>
      </c>
      <c r="BS39" s="153">
        <f ca="1">INDIRECT("'"&amp;B2&amp;"'!o82")</f>
        <v>0</v>
      </c>
      <c r="BT39" s="154"/>
      <c r="BU39" s="108"/>
      <c r="BV39" s="108"/>
      <c r="BW39" s="108"/>
      <c r="BX39" s="108">
        <v>17</v>
      </c>
      <c r="BY39" s="135"/>
      <c r="BZ39" s="134">
        <f>Справочник!J1</f>
        <v>2019</v>
      </c>
      <c r="CA39" s="24">
        <f ca="1">INDIRECT("'"&amp;B2&amp;"'!D17")</f>
        <v>1421</v>
      </c>
      <c r="CB39" s="24">
        <f ca="1">INDIRECT("'"&amp;B2&amp;"'!E17")</f>
        <v>0</v>
      </c>
      <c r="CC39" s="24">
        <f ca="1">INDIRECT("'"&amp;B2&amp;"'!f17")</f>
        <v>0</v>
      </c>
      <c r="CD39" s="24">
        <f ca="1">INDIRECT("'"&amp;B2&amp;"'!G17")</f>
        <v>0</v>
      </c>
      <c r="CE39" s="24">
        <f ca="1">INDIRECT("'"&amp;B2&amp;"'!h17")</f>
        <v>0</v>
      </c>
      <c r="CF39" s="24">
        <f ca="1">INDIRECT("'"&amp;B2&amp;"'!I17")</f>
        <v>0</v>
      </c>
      <c r="CG39" s="24">
        <f ca="1">INDIRECT("'"&amp;B2&amp;"'!J17")</f>
        <v>0</v>
      </c>
      <c r="CH39" s="24">
        <f ca="1">INDIRECT("'"&amp;B2&amp;"'!K17")</f>
        <v>0</v>
      </c>
      <c r="CI39" s="24">
        <f ca="1">INDIRECT("'"&amp;B2&amp;"'!L17")</f>
        <v>0</v>
      </c>
      <c r="CJ39" s="24">
        <f ca="1">INDIRECT("'"&amp;B2&amp;"'!M17")</f>
        <v>0</v>
      </c>
      <c r="CK39" s="24">
        <f ca="1">INDIRECT("'"&amp;B2&amp;"'!N17")</f>
        <v>0</v>
      </c>
      <c r="CL39" s="24">
        <f ca="1">INDIRECT("'"&amp;B2&amp;"'!O17")</f>
        <v>0</v>
      </c>
      <c r="CM39" s="24"/>
      <c r="CN39" s="135"/>
      <c r="CO39" s="133">
        <f t="shared" si="36"/>
        <v>2019</v>
      </c>
      <c r="CP39" s="163">
        <f t="shared" ca="1" si="37"/>
        <v>1421</v>
      </c>
      <c r="CQ39" s="162">
        <f t="shared" ca="1" si="24"/>
        <v>0</v>
      </c>
      <c r="CR39" s="162">
        <f t="shared" ca="1" si="25"/>
        <v>0</v>
      </c>
      <c r="CS39" s="162">
        <f t="shared" ca="1" si="26"/>
        <v>0</v>
      </c>
      <c r="CT39" s="162">
        <f t="shared" ca="1" si="27"/>
        <v>0</v>
      </c>
      <c r="CU39" s="162">
        <f t="shared" ca="1" si="28"/>
        <v>0</v>
      </c>
      <c r="CV39" s="162">
        <f t="shared" ca="1" si="29"/>
        <v>0</v>
      </c>
      <c r="CW39" s="162">
        <f t="shared" ca="1" si="30"/>
        <v>0</v>
      </c>
      <c r="CX39" s="162">
        <f t="shared" ca="1" si="31"/>
        <v>0</v>
      </c>
      <c r="CY39" s="162">
        <f t="shared" ca="1" si="32"/>
        <v>0</v>
      </c>
      <c r="CZ39" s="162">
        <f t="shared" ca="1" si="33"/>
        <v>0</v>
      </c>
      <c r="DA39" s="162">
        <f t="shared" ca="1" si="34"/>
        <v>0</v>
      </c>
    </row>
    <row r="40" spans="1:105" ht="15.75">
      <c r="A40" s="1" t="s">
        <v>522</v>
      </c>
      <c r="Q40" s="149" t="s">
        <v>345</v>
      </c>
      <c r="R40" s="108"/>
      <c r="S40" s="108"/>
      <c r="T40" s="108"/>
      <c r="U40" s="108"/>
      <c r="V40" s="152" t="s">
        <v>525</v>
      </c>
      <c r="W40" s="187">
        <f ca="1">BG45</f>
        <v>570</v>
      </c>
      <c r="X40" s="155" t="str">
        <f ca="1">CONCATENATE("(",BG45-BG44,")")</f>
        <v>(49)</v>
      </c>
      <c r="Y40" s="155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15"/>
      <c r="BF40" s="125" t="s">
        <v>378</v>
      </c>
      <c r="BG40" s="79">
        <f t="shared" ca="1" si="41"/>
        <v>13</v>
      </c>
      <c r="BH40" s="153">
        <f ca="1">INDIRECT("'"&amp;B2&amp;"'!D85")</f>
        <v>13</v>
      </c>
      <c r="BI40" s="153">
        <f ca="1">INDIRECT("'"&amp;B2&amp;"'!e85")</f>
        <v>0</v>
      </c>
      <c r="BJ40" s="153">
        <f ca="1">INDIRECT("'"&amp;B2&amp;"'!f85")</f>
        <v>0</v>
      </c>
      <c r="BK40" s="153">
        <f ca="1">INDIRECT("'"&amp;B2&amp;"'!g85")</f>
        <v>0</v>
      </c>
      <c r="BL40" s="153">
        <f ca="1">INDIRECT("'"&amp;B2&amp;"'!h85")</f>
        <v>0</v>
      </c>
      <c r="BM40" s="153">
        <f ca="1">INDIRECT("'"&amp;B2&amp;"'!i85")</f>
        <v>0</v>
      </c>
      <c r="BN40" s="153">
        <f ca="1">INDIRECT("'"&amp;B2&amp;"'!j85")</f>
        <v>0</v>
      </c>
      <c r="BO40" s="153">
        <f ca="1">INDIRECT("'"&amp;B2&amp;"'!k85")</f>
        <v>0</v>
      </c>
      <c r="BP40" s="153">
        <f ca="1">INDIRECT("'"&amp;B2&amp;"'!l85")</f>
        <v>0</v>
      </c>
      <c r="BQ40" s="153">
        <f ca="1">INDIRECT("'"&amp;B2&amp;"'!m85")</f>
        <v>0</v>
      </c>
      <c r="BR40" s="153">
        <f ca="1">INDIRECT("'"&amp;B2&amp;"'!n85")</f>
        <v>0</v>
      </c>
      <c r="BS40" s="153">
        <f ca="1">INDIRECT("'"&amp;B2&amp;"'!o85")</f>
        <v>0</v>
      </c>
      <c r="BT40" s="154"/>
      <c r="BU40" s="108"/>
      <c r="BV40" s="108"/>
      <c r="BW40" s="108"/>
      <c r="BX40" s="108">
        <v>18</v>
      </c>
      <c r="BY40" s="132" t="s">
        <v>132</v>
      </c>
      <c r="BZ40" s="133">
        <f>Справочник!J2</f>
        <v>2018</v>
      </c>
      <c r="CA40" s="24">
        <f ca="1">INDIRECT("'"&amp;B2&amp;"'!D18")</f>
        <v>70</v>
      </c>
      <c r="CB40" s="24">
        <f ca="1">INDIRECT("'"&amp;B2&amp;"'!E18")</f>
        <v>0</v>
      </c>
      <c r="CC40" s="24">
        <f ca="1">INDIRECT("'"&amp;B2&amp;"'!f18")</f>
        <v>0</v>
      </c>
      <c r="CD40" s="24">
        <f ca="1">INDIRECT("'"&amp;B2&amp;"'!G18")</f>
        <v>0</v>
      </c>
      <c r="CE40" s="24">
        <f ca="1">INDIRECT("'"&amp;B2&amp;"'!h18")</f>
        <v>0</v>
      </c>
      <c r="CF40" s="24">
        <f ca="1">INDIRECT("'"&amp;B2&amp;"'!I18")</f>
        <v>0</v>
      </c>
      <c r="CG40" s="24">
        <f ca="1">INDIRECT("'"&amp;B2&amp;"'!J18")</f>
        <v>0</v>
      </c>
      <c r="CH40" s="24">
        <f ca="1">INDIRECT("'"&amp;B2&amp;"'!K18")</f>
        <v>0</v>
      </c>
      <c r="CI40" s="24">
        <f ca="1">INDIRECT("'"&amp;B2&amp;"'!L18")</f>
        <v>0</v>
      </c>
      <c r="CJ40" s="24">
        <f ca="1">INDIRECT("'"&amp;B2&amp;"'!M18")</f>
        <v>0</v>
      </c>
      <c r="CK40" s="24">
        <f ca="1">INDIRECT("'"&amp;B2&amp;"'!N18")</f>
        <v>0</v>
      </c>
      <c r="CL40" s="24">
        <f ca="1">INDIRECT("'"&amp;B2&amp;"'!O18")</f>
        <v>0</v>
      </c>
      <c r="CM40" s="24"/>
      <c r="CN40" s="132" t="s">
        <v>132</v>
      </c>
      <c r="CO40" s="133">
        <f t="shared" si="36"/>
        <v>2018</v>
      </c>
      <c r="CP40" s="163">
        <f t="shared" ca="1" si="37"/>
        <v>70</v>
      </c>
      <c r="CQ40" s="162">
        <f t="shared" ca="1" si="24"/>
        <v>0</v>
      </c>
      <c r="CR40" s="162">
        <f t="shared" ca="1" si="25"/>
        <v>0</v>
      </c>
      <c r="CS40" s="162">
        <f t="shared" ca="1" si="26"/>
        <v>0</v>
      </c>
      <c r="CT40" s="162">
        <f t="shared" ca="1" si="27"/>
        <v>0</v>
      </c>
      <c r="CU40" s="162">
        <f t="shared" ca="1" si="28"/>
        <v>0</v>
      </c>
      <c r="CV40" s="162">
        <f t="shared" ca="1" si="29"/>
        <v>0</v>
      </c>
      <c r="CW40" s="162">
        <f t="shared" ca="1" si="30"/>
        <v>0</v>
      </c>
      <c r="CX40" s="162">
        <f t="shared" ca="1" si="31"/>
        <v>0</v>
      </c>
      <c r="CY40" s="162">
        <f t="shared" ca="1" si="32"/>
        <v>0</v>
      </c>
      <c r="CZ40" s="162">
        <f t="shared" ca="1" si="33"/>
        <v>0</v>
      </c>
      <c r="DA40" s="162">
        <f t="shared" ca="1" si="34"/>
        <v>0</v>
      </c>
    </row>
    <row r="41" spans="1:105" ht="15.75">
      <c r="R41" s="108"/>
      <c r="S41" s="108"/>
      <c r="T41" s="108"/>
      <c r="U41" s="108"/>
      <c r="V41" s="155"/>
      <c r="W41" s="155"/>
      <c r="X41" s="155"/>
      <c r="Y41" s="155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15"/>
      <c r="BF41" s="125"/>
      <c r="BG41" s="79">
        <f t="shared" ca="1" si="41"/>
        <v>13</v>
      </c>
      <c r="BH41" s="153">
        <f ca="1">INDIRECT("'"&amp;B2&amp;"'!D88")</f>
        <v>13</v>
      </c>
      <c r="BI41" s="153">
        <f ca="1">INDIRECT("'"&amp;B2&amp;"'!e88")</f>
        <v>0</v>
      </c>
      <c r="BJ41" s="153">
        <f ca="1">INDIRECT("'"&amp;B2&amp;"'!f88")</f>
        <v>0</v>
      </c>
      <c r="BK41" s="153">
        <f ca="1">INDIRECT("'"&amp;B2&amp;"'!g88")</f>
        <v>0</v>
      </c>
      <c r="BL41" s="153">
        <f ca="1">INDIRECT("'"&amp;B2&amp;"'!h88")</f>
        <v>0</v>
      </c>
      <c r="BM41" s="153">
        <f ca="1">INDIRECT("'"&amp;B2&amp;"'!i88")</f>
        <v>0</v>
      </c>
      <c r="BN41" s="153">
        <f ca="1">INDIRECT("'"&amp;B2&amp;"'!j88")</f>
        <v>0</v>
      </c>
      <c r="BO41" s="153">
        <f ca="1">INDIRECT("'"&amp;B2&amp;"'!k88")</f>
        <v>0</v>
      </c>
      <c r="BP41" s="153">
        <f ca="1">INDIRECT("'"&amp;B2&amp;"'!l88")</f>
        <v>0</v>
      </c>
      <c r="BQ41" s="153">
        <f ca="1">INDIRECT("'"&amp;B2&amp;"'!m88")</f>
        <v>0</v>
      </c>
      <c r="BR41" s="153">
        <f ca="1">INDIRECT("'"&amp;B2&amp;"'!n88")</f>
        <v>0</v>
      </c>
      <c r="BS41" s="153">
        <f ca="1">INDIRECT("'"&amp;B2&amp;"'!o88")</f>
        <v>0</v>
      </c>
      <c r="BT41" s="154"/>
      <c r="BU41" s="108"/>
      <c r="BV41" s="108"/>
      <c r="BW41" s="108"/>
      <c r="BX41" s="108">
        <v>19</v>
      </c>
      <c r="BY41" s="132"/>
      <c r="BZ41" s="134">
        <f>Справочник!J1</f>
        <v>2019</v>
      </c>
      <c r="CA41" s="24">
        <f ca="1">INDIRECT("'"&amp;B2&amp;"'!D19")</f>
        <v>55</v>
      </c>
      <c r="CB41" s="24">
        <f ca="1">INDIRECT("'"&amp;B2&amp;"'!E19")</f>
        <v>0</v>
      </c>
      <c r="CC41" s="24">
        <f ca="1">INDIRECT("'"&amp;B2&amp;"'!f19")</f>
        <v>0</v>
      </c>
      <c r="CD41" s="24">
        <f ca="1">INDIRECT("'"&amp;B2&amp;"'!G19")</f>
        <v>0</v>
      </c>
      <c r="CE41" s="24">
        <f ca="1">INDIRECT("'"&amp;B2&amp;"'!h19")</f>
        <v>0</v>
      </c>
      <c r="CF41" s="24">
        <f ca="1">INDIRECT("'"&amp;B2&amp;"'!I19")</f>
        <v>0</v>
      </c>
      <c r="CG41" s="24">
        <f ca="1">INDIRECT("'"&amp;B2&amp;"'!J19")</f>
        <v>0</v>
      </c>
      <c r="CH41" s="24">
        <f ca="1">INDIRECT("'"&amp;B2&amp;"'!K19")</f>
        <v>0</v>
      </c>
      <c r="CI41" s="24">
        <f ca="1">INDIRECT("'"&amp;B2&amp;"'!L19")</f>
        <v>0</v>
      </c>
      <c r="CJ41" s="24">
        <f ca="1">INDIRECT("'"&amp;B2&amp;"'!M19")</f>
        <v>0</v>
      </c>
      <c r="CK41" s="24">
        <f ca="1">INDIRECT("'"&amp;B2&amp;"'!N19")</f>
        <v>0</v>
      </c>
      <c r="CL41" s="24">
        <f ca="1">INDIRECT("'"&amp;B2&amp;"'!O19")</f>
        <v>0</v>
      </c>
      <c r="CM41" s="24"/>
      <c r="CN41" s="132"/>
      <c r="CO41" s="133">
        <f t="shared" si="36"/>
        <v>2019</v>
      </c>
      <c r="CP41" s="163">
        <f t="shared" ca="1" si="37"/>
        <v>55</v>
      </c>
      <c r="CQ41" s="162">
        <f t="shared" ca="1" si="24"/>
        <v>0</v>
      </c>
      <c r="CR41" s="162">
        <f t="shared" ca="1" si="25"/>
        <v>0</v>
      </c>
      <c r="CS41" s="162">
        <f t="shared" ca="1" si="26"/>
        <v>0</v>
      </c>
      <c r="CT41" s="162">
        <f t="shared" ca="1" si="27"/>
        <v>0</v>
      </c>
      <c r="CU41" s="162">
        <f t="shared" ca="1" si="28"/>
        <v>0</v>
      </c>
      <c r="CV41" s="162">
        <f t="shared" ca="1" si="29"/>
        <v>0</v>
      </c>
      <c r="CW41" s="162">
        <f t="shared" ca="1" si="30"/>
        <v>0</v>
      </c>
      <c r="CX41" s="162">
        <f t="shared" ca="1" si="31"/>
        <v>0</v>
      </c>
      <c r="CY41" s="162">
        <f t="shared" ca="1" si="32"/>
        <v>0</v>
      </c>
      <c r="CZ41" s="162">
        <f t="shared" ca="1" si="33"/>
        <v>0</v>
      </c>
      <c r="DA41" s="162">
        <f t="shared" ca="1" si="34"/>
        <v>0</v>
      </c>
    </row>
    <row r="42" spans="1:105" ht="15.75">
      <c r="R42" s="108"/>
      <c r="S42" s="108"/>
      <c r="T42" s="108"/>
      <c r="U42" s="108"/>
      <c r="V42" s="155"/>
      <c r="W42" s="155"/>
      <c r="X42" s="155"/>
      <c r="Y42" s="155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15"/>
      <c r="BF42" s="125" t="s">
        <v>346</v>
      </c>
      <c r="BG42" s="79">
        <f t="shared" ca="1" si="41"/>
        <v>52</v>
      </c>
      <c r="BH42" s="153">
        <f ca="1">INDIRECT("'"&amp;B2&amp;"'!D91")</f>
        <v>52</v>
      </c>
      <c r="BI42" s="153">
        <f ca="1">INDIRECT("'"&amp;B2&amp;"'!e91")</f>
        <v>0</v>
      </c>
      <c r="BJ42" s="153">
        <f ca="1">INDIRECT("'"&amp;B2&amp;"'!f91")</f>
        <v>0</v>
      </c>
      <c r="BK42" s="153">
        <f ca="1">INDIRECT("'"&amp;B2&amp;"'!g91")</f>
        <v>0</v>
      </c>
      <c r="BL42" s="153">
        <f ca="1">INDIRECT("'"&amp;B2&amp;"'!h91")</f>
        <v>0</v>
      </c>
      <c r="BM42" s="153">
        <f ca="1">INDIRECT("'"&amp;B2&amp;"'!i91")</f>
        <v>0</v>
      </c>
      <c r="BN42" s="153">
        <f ca="1">INDIRECT("'"&amp;B2&amp;"'!j91")</f>
        <v>0</v>
      </c>
      <c r="BO42" s="153">
        <f ca="1">INDIRECT("'"&amp;B2&amp;"'!k91")</f>
        <v>0</v>
      </c>
      <c r="BP42" s="153">
        <f ca="1">INDIRECT("'"&amp;B2&amp;"'!l91")</f>
        <v>0</v>
      </c>
      <c r="BQ42" s="153">
        <f ca="1">INDIRECT("'"&amp;B2&amp;"'!m91")</f>
        <v>0</v>
      </c>
      <c r="BR42" s="153">
        <f ca="1">INDIRECT("'"&amp;B2&amp;"'!n91")</f>
        <v>0</v>
      </c>
      <c r="BS42" s="153">
        <f ca="1">INDIRECT("'"&amp;B2&amp;"'!o91")</f>
        <v>0</v>
      </c>
      <c r="BT42" s="154"/>
      <c r="BU42" s="108"/>
      <c r="BV42" s="108"/>
      <c r="BW42" s="108"/>
      <c r="BX42" s="108">
        <v>20</v>
      </c>
      <c r="BY42" s="135" t="s">
        <v>133</v>
      </c>
      <c r="BZ42" s="133">
        <f>Справочник!J2</f>
        <v>2018</v>
      </c>
      <c r="CA42" s="24">
        <f ca="1">INDIRECT("'"&amp;B2&amp;"'!D20")</f>
        <v>91</v>
      </c>
      <c r="CB42" s="24">
        <f ca="1">INDIRECT("'"&amp;B2&amp;"'!E20")</f>
        <v>0</v>
      </c>
      <c r="CC42" s="24">
        <f ca="1">INDIRECT("'"&amp;B2&amp;"'!f20")</f>
        <v>0</v>
      </c>
      <c r="CD42" s="24">
        <f ca="1">INDIRECT("'"&amp;B2&amp;"'!G20")</f>
        <v>0</v>
      </c>
      <c r="CE42" s="24">
        <f ca="1">INDIRECT("'"&amp;B2&amp;"'!h20")</f>
        <v>0</v>
      </c>
      <c r="CF42" s="24">
        <f ca="1">INDIRECT("'"&amp;B2&amp;"'!I20")</f>
        <v>0</v>
      </c>
      <c r="CG42" s="24">
        <f ca="1">INDIRECT("'"&amp;B2&amp;"'!J20")</f>
        <v>0</v>
      </c>
      <c r="CH42" s="24">
        <f ca="1">INDIRECT("'"&amp;B2&amp;"'!K20")</f>
        <v>0</v>
      </c>
      <c r="CI42" s="24">
        <f ca="1">INDIRECT("'"&amp;B2&amp;"'!L20")</f>
        <v>0</v>
      </c>
      <c r="CJ42" s="24">
        <f ca="1">INDIRECT("'"&amp;B2&amp;"'!M20")</f>
        <v>0</v>
      </c>
      <c r="CK42" s="24">
        <f ca="1">INDIRECT("'"&amp;B2&amp;"'!N20")</f>
        <v>0</v>
      </c>
      <c r="CL42" s="24">
        <f ca="1">INDIRECT("'"&amp;B2&amp;"'!O20")</f>
        <v>0</v>
      </c>
      <c r="CM42" s="24"/>
      <c r="CN42" s="135" t="s">
        <v>346</v>
      </c>
      <c r="CO42" s="133">
        <f t="shared" si="36"/>
        <v>2018</v>
      </c>
      <c r="CP42" s="163">
        <f t="shared" ca="1" si="37"/>
        <v>91</v>
      </c>
      <c r="CQ42" s="162">
        <f t="shared" ca="1" si="24"/>
        <v>0</v>
      </c>
      <c r="CR42" s="162">
        <f t="shared" ca="1" si="25"/>
        <v>0</v>
      </c>
      <c r="CS42" s="162">
        <f t="shared" ca="1" si="26"/>
        <v>0</v>
      </c>
      <c r="CT42" s="162">
        <f t="shared" ca="1" si="27"/>
        <v>0</v>
      </c>
      <c r="CU42" s="162">
        <f t="shared" ca="1" si="28"/>
        <v>0</v>
      </c>
      <c r="CV42" s="162">
        <f t="shared" ca="1" si="29"/>
        <v>0</v>
      </c>
      <c r="CW42" s="162">
        <f t="shared" ca="1" si="30"/>
        <v>0</v>
      </c>
      <c r="CX42" s="162">
        <f t="shared" ca="1" si="31"/>
        <v>0</v>
      </c>
      <c r="CY42" s="162">
        <f t="shared" ca="1" si="32"/>
        <v>0</v>
      </c>
      <c r="CZ42" s="162">
        <f t="shared" ca="1" si="33"/>
        <v>0</v>
      </c>
      <c r="DA42" s="162">
        <f t="shared" ca="1" si="34"/>
        <v>0</v>
      </c>
    </row>
    <row r="43" spans="1:105" ht="15.75">
      <c r="R43" s="108"/>
      <c r="S43" s="108"/>
      <c r="T43" s="108"/>
      <c r="U43" s="108"/>
      <c r="V43" s="155"/>
      <c r="W43" s="155"/>
      <c r="X43" s="155"/>
      <c r="Y43" s="155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15"/>
      <c r="BF43" s="125"/>
      <c r="BG43" s="79">
        <f t="shared" ca="1" si="41"/>
        <v>47</v>
      </c>
      <c r="BH43" s="153">
        <f ca="1">INDIRECT("'"&amp;B2&amp;"'!D94")</f>
        <v>47</v>
      </c>
      <c r="BI43" s="153">
        <f ca="1">INDIRECT("'"&amp;B2&amp;"'!e94")</f>
        <v>0</v>
      </c>
      <c r="BJ43" s="153">
        <f ca="1">INDIRECT("'"&amp;B2&amp;"'!f94")</f>
        <v>0</v>
      </c>
      <c r="BK43" s="153">
        <f ca="1">INDIRECT("'"&amp;B2&amp;"'!g94")</f>
        <v>0</v>
      </c>
      <c r="BL43" s="153">
        <f ca="1">INDIRECT("'"&amp;B2&amp;"'!h94")</f>
        <v>0</v>
      </c>
      <c r="BM43" s="153">
        <f ca="1">INDIRECT("'"&amp;B2&amp;"'!i94")</f>
        <v>0</v>
      </c>
      <c r="BN43" s="153">
        <f ca="1">INDIRECT("'"&amp;B2&amp;"'!j94")</f>
        <v>0</v>
      </c>
      <c r="BO43" s="153">
        <f ca="1">INDIRECT("'"&amp;B2&amp;"'!k94")</f>
        <v>0</v>
      </c>
      <c r="BP43" s="153">
        <f ca="1">INDIRECT("'"&amp;B2&amp;"'!l94")</f>
        <v>0</v>
      </c>
      <c r="BQ43" s="153">
        <f ca="1">INDIRECT("'"&amp;B2&amp;"'!m94")</f>
        <v>0</v>
      </c>
      <c r="BR43" s="153">
        <f ca="1">INDIRECT("'"&amp;B2&amp;"'!n94")</f>
        <v>0</v>
      </c>
      <c r="BS43" s="153">
        <f ca="1">INDIRECT("'"&amp;B2&amp;"'!o94")</f>
        <v>0</v>
      </c>
      <c r="BT43" s="154"/>
      <c r="BU43" s="108"/>
      <c r="BV43" s="108"/>
      <c r="BW43" s="108"/>
      <c r="BX43" s="108">
        <v>21</v>
      </c>
      <c r="BY43" s="135"/>
      <c r="BZ43" s="134">
        <f>Справочник!J1</f>
        <v>2019</v>
      </c>
      <c r="CA43" s="24">
        <f ca="1">INDIRECT("'"&amp;B2&amp;"'!D21")</f>
        <v>84</v>
      </c>
      <c r="CB43" s="24">
        <f ca="1">INDIRECT("'"&amp;B2&amp;"'!E21")</f>
        <v>0</v>
      </c>
      <c r="CC43" s="24">
        <f ca="1">INDIRECT("'"&amp;B2&amp;"'!f21")</f>
        <v>0</v>
      </c>
      <c r="CD43" s="24">
        <f ca="1">INDIRECT("'"&amp;B2&amp;"'!G21")</f>
        <v>0</v>
      </c>
      <c r="CE43" s="24">
        <f ca="1">INDIRECT("'"&amp;B2&amp;"'!h21")</f>
        <v>0</v>
      </c>
      <c r="CF43" s="24">
        <f ca="1">INDIRECT("'"&amp;B2&amp;"'!I21")</f>
        <v>0</v>
      </c>
      <c r="CG43" s="24">
        <f ca="1">INDIRECT("'"&amp;B2&amp;"'!J21")</f>
        <v>0</v>
      </c>
      <c r="CH43" s="24">
        <f ca="1">INDIRECT("'"&amp;B2&amp;"'!K21")</f>
        <v>0</v>
      </c>
      <c r="CI43" s="24">
        <f ca="1">INDIRECT("'"&amp;B2&amp;"'!L21")</f>
        <v>0</v>
      </c>
      <c r="CJ43" s="24">
        <f ca="1">INDIRECT("'"&amp;B2&amp;"'!M21")</f>
        <v>0</v>
      </c>
      <c r="CK43" s="24">
        <f ca="1">INDIRECT("'"&amp;B2&amp;"'!N21")</f>
        <v>0</v>
      </c>
      <c r="CL43" s="24">
        <f ca="1">INDIRECT("'"&amp;B2&amp;"'!O21")</f>
        <v>0</v>
      </c>
      <c r="CM43" s="24"/>
      <c r="CN43" s="135"/>
      <c r="CO43" s="133">
        <f t="shared" si="36"/>
        <v>2019</v>
      </c>
      <c r="CP43" s="163">
        <f t="shared" ca="1" si="37"/>
        <v>84</v>
      </c>
      <c r="CQ43" s="162">
        <f t="shared" ca="1" si="24"/>
        <v>0</v>
      </c>
      <c r="CR43" s="162">
        <f t="shared" ca="1" si="25"/>
        <v>0</v>
      </c>
      <c r="CS43" s="162">
        <f t="shared" ca="1" si="26"/>
        <v>0</v>
      </c>
      <c r="CT43" s="162">
        <f t="shared" ca="1" si="27"/>
        <v>0</v>
      </c>
      <c r="CU43" s="162">
        <f t="shared" ca="1" si="28"/>
        <v>0</v>
      </c>
      <c r="CV43" s="162">
        <f t="shared" ca="1" si="29"/>
        <v>0</v>
      </c>
      <c r="CW43" s="162">
        <f t="shared" ca="1" si="30"/>
        <v>0</v>
      </c>
      <c r="CX43" s="162">
        <f t="shared" ca="1" si="31"/>
        <v>0</v>
      </c>
      <c r="CY43" s="162">
        <f t="shared" ca="1" si="32"/>
        <v>0</v>
      </c>
      <c r="CZ43" s="162">
        <f t="shared" ca="1" si="33"/>
        <v>0</v>
      </c>
      <c r="DA43" s="162">
        <f t="shared" ca="1" si="34"/>
        <v>0</v>
      </c>
    </row>
    <row r="44" spans="1:105" ht="15.75">
      <c r="A44" s="1"/>
      <c r="R44" s="108"/>
      <c r="S44" s="108"/>
      <c r="T44" s="108"/>
      <c r="U44" s="108"/>
      <c r="V44" s="155"/>
      <c r="W44" s="155"/>
      <c r="X44" s="155"/>
      <c r="Y44" s="155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15"/>
      <c r="BF44" s="125" t="s">
        <v>345</v>
      </c>
      <c r="BG44" s="79">
        <f t="shared" ca="1" si="41"/>
        <v>521</v>
      </c>
      <c r="BH44" s="153">
        <f ca="1">INDIRECT("'"&amp;B2&amp;"'!D97")</f>
        <v>521</v>
      </c>
      <c r="BI44" s="153">
        <f ca="1">INDIRECT("'"&amp;B2&amp;"'!e97")</f>
        <v>0</v>
      </c>
      <c r="BJ44" s="153">
        <f ca="1">INDIRECT("'"&amp;B2&amp;"'!f97")</f>
        <v>0</v>
      </c>
      <c r="BK44" s="153">
        <f ca="1">INDIRECT("'"&amp;B2&amp;"'!g97")</f>
        <v>0</v>
      </c>
      <c r="BL44" s="153">
        <f ca="1">INDIRECT("'"&amp;B2&amp;"'!h97")</f>
        <v>0</v>
      </c>
      <c r="BM44" s="153">
        <f ca="1">INDIRECT("'"&amp;B2&amp;"'!i97")</f>
        <v>0</v>
      </c>
      <c r="BN44" s="153">
        <f ca="1">INDIRECT("'"&amp;B2&amp;"'!j97")</f>
        <v>0</v>
      </c>
      <c r="BO44" s="153">
        <f ca="1">INDIRECT("'"&amp;B2&amp;"'!k97")</f>
        <v>0</v>
      </c>
      <c r="BP44" s="153">
        <f ca="1">INDIRECT("'"&amp;B2&amp;"'!l97")</f>
        <v>0</v>
      </c>
      <c r="BQ44" s="153">
        <f ca="1">INDIRECT("'"&amp;B2&amp;"'!m97")</f>
        <v>0</v>
      </c>
      <c r="BR44" s="153">
        <f ca="1">INDIRECT("'"&amp;B2&amp;"'!n97")</f>
        <v>0</v>
      </c>
      <c r="BS44" s="153">
        <f ca="1">INDIRECT("'"&amp;B2&amp;"'!o97")</f>
        <v>0</v>
      </c>
      <c r="BT44" s="154"/>
      <c r="BU44" s="108"/>
      <c r="BV44" s="108"/>
      <c r="BW44" s="108"/>
      <c r="BX44" s="108">
        <v>22</v>
      </c>
      <c r="BY44" s="132" t="s">
        <v>134</v>
      </c>
      <c r="BZ44" s="133">
        <f>Справочник!J2</f>
        <v>2018</v>
      </c>
      <c r="CA44" s="24">
        <f ca="1">INDIRECT("'"&amp;B2&amp;"'!D22")</f>
        <v>14</v>
      </c>
      <c r="CB44" s="24">
        <f ca="1">INDIRECT("'"&amp;B2&amp;"'!E22")</f>
        <v>0</v>
      </c>
      <c r="CC44" s="24">
        <f ca="1">INDIRECT("'"&amp;B2&amp;"'!f22")</f>
        <v>0</v>
      </c>
      <c r="CD44" s="24">
        <f ca="1">INDIRECT("'"&amp;B2&amp;"'!G22")</f>
        <v>0</v>
      </c>
      <c r="CE44" s="24">
        <f ca="1">INDIRECT("'"&amp;B2&amp;"'!h22")</f>
        <v>0</v>
      </c>
      <c r="CF44" s="24">
        <f ca="1">INDIRECT("'"&amp;B2&amp;"'!I22")</f>
        <v>0</v>
      </c>
      <c r="CG44" s="24">
        <f ca="1">INDIRECT("'"&amp;B2&amp;"'!J22")</f>
        <v>0</v>
      </c>
      <c r="CH44" s="24">
        <f ca="1">INDIRECT("'"&amp;B2&amp;"'!K22")</f>
        <v>0</v>
      </c>
      <c r="CI44" s="24">
        <f ca="1">INDIRECT("'"&amp;B2&amp;"'!L22")</f>
        <v>0</v>
      </c>
      <c r="CJ44" s="24">
        <f ca="1">INDIRECT("'"&amp;B2&amp;"'!M22")</f>
        <v>0</v>
      </c>
      <c r="CK44" s="24">
        <f ca="1">INDIRECT("'"&amp;B2&amp;"'!N22")</f>
        <v>0</v>
      </c>
      <c r="CL44" s="24">
        <f ca="1">INDIRECT("'"&amp;B2&amp;"'!O22")</f>
        <v>0</v>
      </c>
      <c r="CM44" s="24"/>
      <c r="CN44" s="132" t="s">
        <v>347</v>
      </c>
      <c r="CO44" s="133">
        <f t="shared" si="36"/>
        <v>2018</v>
      </c>
      <c r="CP44" s="163">
        <f t="shared" ca="1" si="37"/>
        <v>14</v>
      </c>
      <c r="CQ44" s="162">
        <f t="shared" ca="1" si="24"/>
        <v>0</v>
      </c>
      <c r="CR44" s="162">
        <f t="shared" ca="1" si="25"/>
        <v>0</v>
      </c>
      <c r="CS44" s="162">
        <f t="shared" ca="1" si="26"/>
        <v>0</v>
      </c>
      <c r="CT44" s="162">
        <f t="shared" ca="1" si="27"/>
        <v>0</v>
      </c>
      <c r="CU44" s="162">
        <f t="shared" ca="1" si="28"/>
        <v>0</v>
      </c>
      <c r="CV44" s="162">
        <f t="shared" ca="1" si="29"/>
        <v>0</v>
      </c>
      <c r="CW44" s="162">
        <f t="shared" ca="1" si="30"/>
        <v>0</v>
      </c>
      <c r="CX44" s="162">
        <f t="shared" ca="1" si="31"/>
        <v>0</v>
      </c>
      <c r="CY44" s="162">
        <f t="shared" ca="1" si="32"/>
        <v>0</v>
      </c>
      <c r="CZ44" s="162">
        <f t="shared" ca="1" si="33"/>
        <v>0</v>
      </c>
      <c r="DA44" s="162">
        <f t="shared" ca="1" si="34"/>
        <v>0</v>
      </c>
    </row>
    <row r="45" spans="1:105" ht="15.75">
      <c r="A45" s="1"/>
      <c r="R45" s="108"/>
      <c r="S45" s="108"/>
      <c r="T45" s="108"/>
      <c r="U45" s="108"/>
      <c r="V45" s="155"/>
      <c r="W45" s="155"/>
      <c r="X45" s="155"/>
      <c r="Y45" s="155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15"/>
      <c r="BF45" s="125"/>
      <c r="BG45" s="79">
        <f t="shared" ca="1" si="41"/>
        <v>570</v>
      </c>
      <c r="BH45" s="153">
        <f ca="1">INDIRECT("'"&amp;B2&amp;"'!D100")</f>
        <v>570</v>
      </c>
      <c r="BI45" s="153">
        <f ca="1">INDIRECT("'"&amp;B2&amp;"'!e100")</f>
        <v>0</v>
      </c>
      <c r="BJ45" s="153">
        <f ca="1">INDIRECT("'"&amp;B2&amp;"'!f100")</f>
        <v>0</v>
      </c>
      <c r="BK45" s="153">
        <f ca="1">INDIRECT("'"&amp;B2&amp;"'!g100")</f>
        <v>0</v>
      </c>
      <c r="BL45" s="153">
        <f ca="1">INDIRECT("'"&amp;B2&amp;"'!h100")</f>
        <v>0</v>
      </c>
      <c r="BM45" s="153">
        <f ca="1">INDIRECT("'"&amp;B2&amp;"'!i100")</f>
        <v>0</v>
      </c>
      <c r="BN45" s="153">
        <f ca="1">INDIRECT("'"&amp;B2&amp;"'!j100")</f>
        <v>0</v>
      </c>
      <c r="BO45" s="153">
        <f ca="1">INDIRECT("'"&amp;B2&amp;"'!k100")</f>
        <v>0</v>
      </c>
      <c r="BP45" s="153">
        <f ca="1">INDIRECT("'"&amp;B2&amp;"'!l100")</f>
        <v>0</v>
      </c>
      <c r="BQ45" s="153">
        <f ca="1">INDIRECT("'"&amp;B2&amp;"'!m100")</f>
        <v>0</v>
      </c>
      <c r="BR45" s="153">
        <f ca="1">INDIRECT("'"&amp;B2&amp;"'!n100")</f>
        <v>0</v>
      </c>
      <c r="BS45" s="153">
        <f ca="1">INDIRECT("'"&amp;B2&amp;"'!o100")</f>
        <v>0</v>
      </c>
      <c r="BT45" s="154"/>
      <c r="BU45" s="108"/>
      <c r="BV45" s="108"/>
      <c r="BW45" s="108"/>
      <c r="BX45" s="108">
        <v>23</v>
      </c>
      <c r="BY45" s="132"/>
      <c r="BZ45" s="134">
        <f>Справочник!J1</f>
        <v>2019</v>
      </c>
      <c r="CA45" s="24">
        <f ca="1">INDIRECT("'"&amp;B2&amp;"'!D23")</f>
        <v>16</v>
      </c>
      <c r="CB45" s="24">
        <f ca="1">INDIRECT("'"&amp;B2&amp;"'!E23")</f>
        <v>0</v>
      </c>
      <c r="CC45" s="24">
        <f ca="1">INDIRECT("'"&amp;B2&amp;"'!f23")</f>
        <v>0</v>
      </c>
      <c r="CD45" s="24">
        <f ca="1">INDIRECT("'"&amp;B2&amp;"'!G23")</f>
        <v>0</v>
      </c>
      <c r="CE45" s="24">
        <f ca="1">INDIRECT("'"&amp;B2&amp;"'!h23")</f>
        <v>0</v>
      </c>
      <c r="CF45" s="24">
        <f ca="1">INDIRECT("'"&amp;B2&amp;"'!I23")</f>
        <v>0</v>
      </c>
      <c r="CG45" s="24">
        <f ca="1">INDIRECT("'"&amp;B2&amp;"'!J23")</f>
        <v>0</v>
      </c>
      <c r="CH45" s="24">
        <f ca="1">INDIRECT("'"&amp;B2&amp;"'!K23")</f>
        <v>0</v>
      </c>
      <c r="CI45" s="24">
        <f ca="1">INDIRECT("'"&amp;B2&amp;"'!L23")</f>
        <v>0</v>
      </c>
      <c r="CJ45" s="24">
        <f ca="1">INDIRECT("'"&amp;B2&amp;"'!M23")</f>
        <v>0</v>
      </c>
      <c r="CK45" s="24">
        <f ca="1">INDIRECT("'"&amp;B2&amp;"'!N23")</f>
        <v>0</v>
      </c>
      <c r="CL45" s="24">
        <f ca="1">INDIRECT("'"&amp;B2&amp;"'!O23")</f>
        <v>0</v>
      </c>
      <c r="CM45" s="24"/>
      <c r="CN45" s="132"/>
      <c r="CO45" s="133">
        <f t="shared" si="36"/>
        <v>2019</v>
      </c>
      <c r="CP45" s="163">
        <f t="shared" ca="1" si="37"/>
        <v>16</v>
      </c>
      <c r="CQ45" s="162">
        <f t="shared" ca="1" si="24"/>
        <v>0</v>
      </c>
      <c r="CR45" s="162">
        <f t="shared" ca="1" si="25"/>
        <v>0</v>
      </c>
      <c r="CS45" s="162">
        <f t="shared" ca="1" si="26"/>
        <v>0</v>
      </c>
      <c r="CT45" s="162">
        <f t="shared" ca="1" si="27"/>
        <v>0</v>
      </c>
      <c r="CU45" s="162">
        <f t="shared" ca="1" si="28"/>
        <v>0</v>
      </c>
      <c r="CV45" s="162">
        <f t="shared" ca="1" si="29"/>
        <v>0</v>
      </c>
      <c r="CW45" s="162">
        <f t="shared" ca="1" si="30"/>
        <v>0</v>
      </c>
      <c r="CX45" s="162">
        <f t="shared" ca="1" si="31"/>
        <v>0</v>
      </c>
      <c r="CY45" s="162">
        <f t="shared" ca="1" si="32"/>
        <v>0</v>
      </c>
      <c r="CZ45" s="162">
        <f t="shared" ca="1" si="33"/>
        <v>0</v>
      </c>
      <c r="DA45" s="162">
        <f t="shared" ca="1" si="34"/>
        <v>0</v>
      </c>
    </row>
    <row r="46" spans="1:105" ht="15.75">
      <c r="A46" s="1"/>
      <c r="R46" s="108"/>
      <c r="S46" s="108"/>
      <c r="T46" s="108"/>
      <c r="U46" s="108"/>
      <c r="V46" s="155"/>
      <c r="W46" s="155"/>
      <c r="X46" s="155"/>
      <c r="Y46" s="155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15"/>
      <c r="BF46" s="125" t="s">
        <v>342</v>
      </c>
      <c r="BG46" s="79">
        <f t="shared" ca="1" si="41"/>
        <v>72</v>
      </c>
      <c r="BH46" s="153">
        <f ca="1">INDIRECT("'"&amp;B2&amp;"'!D103")</f>
        <v>72</v>
      </c>
      <c r="BI46" s="153">
        <f ca="1">INDIRECT("'"&amp;B2&amp;"'!e103")</f>
        <v>0</v>
      </c>
      <c r="BJ46" s="153">
        <f ca="1">INDIRECT("'"&amp;B2&amp;"'!f103")</f>
        <v>0</v>
      </c>
      <c r="BK46" s="153">
        <f ca="1">INDIRECT("'"&amp;B2&amp;"'!g103")</f>
        <v>0</v>
      </c>
      <c r="BL46" s="153">
        <f ca="1">INDIRECT("'"&amp;B2&amp;"'!h103")</f>
        <v>0</v>
      </c>
      <c r="BM46" s="153">
        <f ca="1">INDIRECT("'"&amp;B2&amp;"'!i103")</f>
        <v>0</v>
      </c>
      <c r="BN46" s="153">
        <f ca="1">INDIRECT("'"&amp;B2&amp;"'!j103")</f>
        <v>0</v>
      </c>
      <c r="BO46" s="153">
        <f ca="1">INDIRECT("'"&amp;B2&amp;"'!k103")</f>
        <v>0</v>
      </c>
      <c r="BP46" s="153">
        <f ca="1">INDIRECT("'"&amp;B2&amp;"'!l103")</f>
        <v>0</v>
      </c>
      <c r="BQ46" s="153">
        <f ca="1">INDIRECT("'"&amp;B2&amp;"'!m103")</f>
        <v>0</v>
      </c>
      <c r="BR46" s="153">
        <f ca="1">INDIRECT("'"&amp;B2&amp;"'!n103")</f>
        <v>0</v>
      </c>
      <c r="BS46" s="153">
        <f ca="1">INDIRECT("'"&amp;B2&amp;"'!o103")</f>
        <v>0</v>
      </c>
      <c r="BT46" s="154"/>
      <c r="BU46" s="108"/>
      <c r="BV46" s="108"/>
      <c r="BW46" s="108"/>
      <c r="BX46" s="108">
        <v>24</v>
      </c>
      <c r="BY46" s="135" t="s">
        <v>135</v>
      </c>
      <c r="BZ46" s="133">
        <f>Справочник!J2</f>
        <v>2018</v>
      </c>
      <c r="CA46" s="24">
        <f ca="1">INDIRECT("'"&amp;B2&amp;"'!D24")</f>
        <v>3</v>
      </c>
      <c r="CB46" s="24">
        <f ca="1">INDIRECT("'"&amp;B2&amp;"'!E24")</f>
        <v>0</v>
      </c>
      <c r="CC46" s="24">
        <f ca="1">INDIRECT("'"&amp;B2&amp;"'!f24")</f>
        <v>0</v>
      </c>
      <c r="CD46" s="24">
        <f ca="1">INDIRECT("'"&amp;B2&amp;"'!G24")</f>
        <v>0</v>
      </c>
      <c r="CE46" s="24">
        <f ca="1">INDIRECT("'"&amp;B2&amp;"'!h24")</f>
        <v>0</v>
      </c>
      <c r="CF46" s="24">
        <f ca="1">INDIRECT("'"&amp;B2&amp;"'!I24")</f>
        <v>0</v>
      </c>
      <c r="CG46" s="24">
        <f ca="1">INDIRECT("'"&amp;B2&amp;"'!J24")</f>
        <v>0</v>
      </c>
      <c r="CH46" s="24">
        <f ca="1">INDIRECT("'"&amp;B2&amp;"'!K24")</f>
        <v>0</v>
      </c>
      <c r="CI46" s="24">
        <f ca="1">INDIRECT("'"&amp;B2&amp;"'!L24")</f>
        <v>0</v>
      </c>
      <c r="CJ46" s="24">
        <f ca="1">INDIRECT("'"&amp;B2&amp;"'!M24")</f>
        <v>0</v>
      </c>
      <c r="CK46" s="24">
        <f ca="1">INDIRECT("'"&amp;B2&amp;"'!N24")</f>
        <v>0</v>
      </c>
      <c r="CL46" s="24">
        <f ca="1">INDIRECT("'"&amp;B2&amp;"'!O24")</f>
        <v>0</v>
      </c>
      <c r="CM46" s="24"/>
      <c r="CN46" s="135" t="s">
        <v>135</v>
      </c>
      <c r="CO46" s="133">
        <f t="shared" si="36"/>
        <v>2018</v>
      </c>
      <c r="CP46" s="163">
        <f t="shared" ca="1" si="37"/>
        <v>3</v>
      </c>
      <c r="CQ46" s="162">
        <f t="shared" ca="1" si="24"/>
        <v>0</v>
      </c>
      <c r="CR46" s="162">
        <f t="shared" ca="1" si="25"/>
        <v>0</v>
      </c>
      <c r="CS46" s="162">
        <f t="shared" ca="1" si="26"/>
        <v>0</v>
      </c>
      <c r="CT46" s="162">
        <f t="shared" ca="1" si="27"/>
        <v>0</v>
      </c>
      <c r="CU46" s="162">
        <f t="shared" ca="1" si="28"/>
        <v>0</v>
      </c>
      <c r="CV46" s="162">
        <f t="shared" ca="1" si="29"/>
        <v>0</v>
      </c>
      <c r="CW46" s="162">
        <f t="shared" ca="1" si="30"/>
        <v>0</v>
      </c>
      <c r="CX46" s="162">
        <f t="shared" ca="1" si="31"/>
        <v>0</v>
      </c>
      <c r="CY46" s="162">
        <f t="shared" ca="1" si="32"/>
        <v>0</v>
      </c>
      <c r="CZ46" s="162">
        <f t="shared" ca="1" si="33"/>
        <v>0</v>
      </c>
      <c r="DA46" s="162">
        <f t="shared" ca="1" si="34"/>
        <v>0</v>
      </c>
    </row>
    <row r="47" spans="1:105" ht="15.75">
      <c r="Q47" s="149" t="s">
        <v>342</v>
      </c>
      <c r="R47" s="108"/>
      <c r="S47" s="108"/>
      <c r="T47" s="108"/>
      <c r="U47" s="108"/>
      <c r="V47" s="152" t="s">
        <v>525</v>
      </c>
      <c r="W47" s="187">
        <f ca="1">BG47</f>
        <v>67</v>
      </c>
      <c r="X47" s="155" t="str">
        <f ca="1">CONCATENATE("(",BG47-BG46,")")</f>
        <v>(-5)</v>
      </c>
      <c r="Y47" s="155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15"/>
      <c r="BF47" s="125"/>
      <c r="BG47" s="79">
        <f t="shared" ca="1" si="41"/>
        <v>67</v>
      </c>
      <c r="BH47" s="153">
        <f ca="1">INDIRECT("'"&amp;B2&amp;"'!D106")</f>
        <v>67</v>
      </c>
      <c r="BI47" s="153">
        <f ca="1">INDIRECT("'"&amp;B2&amp;"'!e106")</f>
        <v>0</v>
      </c>
      <c r="BJ47" s="153">
        <f ca="1">INDIRECT("'"&amp;B2&amp;"'!f106")</f>
        <v>0</v>
      </c>
      <c r="BK47" s="153">
        <f ca="1">INDIRECT("'"&amp;B2&amp;"'!g6106")</f>
        <v>0</v>
      </c>
      <c r="BL47" s="153">
        <f ca="1">INDIRECT("'"&amp;B2&amp;"'!h106")</f>
        <v>0</v>
      </c>
      <c r="BM47" s="153">
        <f ca="1">INDIRECT("'"&amp;B2&amp;"'!i106")</f>
        <v>0</v>
      </c>
      <c r="BN47" s="153">
        <f ca="1">INDIRECT("'"&amp;B2&amp;"'!j106")</f>
        <v>0</v>
      </c>
      <c r="BO47" s="153">
        <f ca="1">INDIRECT("'"&amp;B2&amp;"'!k106")</f>
        <v>0</v>
      </c>
      <c r="BP47" s="153">
        <f ca="1">INDIRECT("'"&amp;B2&amp;"'!l106")</f>
        <v>0</v>
      </c>
      <c r="BQ47" s="153">
        <f ca="1">INDIRECT("'"&amp;B2&amp;"'!m106")</f>
        <v>0</v>
      </c>
      <c r="BR47" s="153">
        <f ca="1">INDIRECT("'"&amp;B2&amp;"'!n106")</f>
        <v>0</v>
      </c>
      <c r="BS47" s="153">
        <f ca="1">INDIRECT("'"&amp;B2&amp;"'!o106")</f>
        <v>0</v>
      </c>
      <c r="BT47" s="154"/>
      <c r="BU47" s="108"/>
      <c r="BV47" s="108"/>
      <c r="BW47" s="108"/>
      <c r="BX47" s="108">
        <v>25</v>
      </c>
      <c r="BY47" s="135"/>
      <c r="BZ47" s="134">
        <f>Справочник!J1</f>
        <v>2019</v>
      </c>
      <c r="CA47" s="24">
        <f ca="1">INDIRECT("'"&amp;B2&amp;"'!D25")</f>
        <v>0</v>
      </c>
      <c r="CB47" s="24">
        <f ca="1">INDIRECT("'"&amp;B2&amp;"'!E25")</f>
        <v>0</v>
      </c>
      <c r="CC47" s="24">
        <f ca="1">INDIRECT("'"&amp;B2&amp;"'!f25")</f>
        <v>0</v>
      </c>
      <c r="CD47" s="24">
        <f ca="1">INDIRECT("'"&amp;B2&amp;"'!G25")</f>
        <v>0</v>
      </c>
      <c r="CE47" s="24">
        <f ca="1">INDIRECT("'"&amp;B2&amp;"'!h25")</f>
        <v>0</v>
      </c>
      <c r="CF47" s="24">
        <f ca="1">INDIRECT("'"&amp;B2&amp;"'!I25")</f>
        <v>0</v>
      </c>
      <c r="CG47" s="24">
        <f ca="1">INDIRECT("'"&amp;B2&amp;"'!J25")</f>
        <v>0</v>
      </c>
      <c r="CH47" s="24">
        <f ca="1">INDIRECT("'"&amp;B2&amp;"'!K25")</f>
        <v>0</v>
      </c>
      <c r="CI47" s="24">
        <f ca="1">INDIRECT("'"&amp;B2&amp;"'!L25")</f>
        <v>0</v>
      </c>
      <c r="CJ47" s="24">
        <f ca="1">INDIRECT("'"&amp;B2&amp;"'!M25")</f>
        <v>0</v>
      </c>
      <c r="CK47" s="24">
        <f ca="1">INDIRECT("'"&amp;B2&amp;"'!N25")</f>
        <v>0</v>
      </c>
      <c r="CL47" s="24">
        <f ca="1">INDIRECT("'"&amp;B2&amp;"'!O25")</f>
        <v>0</v>
      </c>
      <c r="CM47" s="24"/>
      <c r="CN47" s="135"/>
      <c r="CO47" s="133">
        <f t="shared" si="36"/>
        <v>2019</v>
      </c>
      <c r="CP47" s="163">
        <f t="shared" ca="1" si="37"/>
        <v>0</v>
      </c>
      <c r="CQ47" s="162">
        <f t="shared" ca="1" si="24"/>
        <v>0</v>
      </c>
      <c r="CR47" s="162">
        <f t="shared" ca="1" si="25"/>
        <v>0</v>
      </c>
      <c r="CS47" s="162">
        <f t="shared" ca="1" si="26"/>
        <v>0</v>
      </c>
      <c r="CT47" s="162">
        <f t="shared" ca="1" si="27"/>
        <v>0</v>
      </c>
      <c r="CU47" s="162">
        <f t="shared" ca="1" si="28"/>
        <v>0</v>
      </c>
      <c r="CV47" s="162">
        <f t="shared" ca="1" si="29"/>
        <v>0</v>
      </c>
      <c r="CW47" s="162">
        <f t="shared" ca="1" si="30"/>
        <v>0</v>
      </c>
      <c r="CX47" s="162">
        <f t="shared" ca="1" si="31"/>
        <v>0</v>
      </c>
      <c r="CY47" s="162">
        <f t="shared" ca="1" si="32"/>
        <v>0</v>
      </c>
      <c r="CZ47" s="162">
        <f t="shared" ca="1" si="33"/>
        <v>0</v>
      </c>
      <c r="DA47" s="162">
        <f t="shared" ca="1" si="34"/>
        <v>0</v>
      </c>
    </row>
    <row r="48" spans="1:105" ht="15.75"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15"/>
      <c r="BF48" s="115" t="s">
        <v>530</v>
      </c>
      <c r="BG48" s="115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08"/>
      <c r="BV48" s="108"/>
      <c r="BW48" s="108"/>
      <c r="BX48" s="108">
        <v>26</v>
      </c>
      <c r="BY48" s="137" t="s">
        <v>136</v>
      </c>
      <c r="BZ48" s="133">
        <f>Справочник!J2</f>
        <v>2018</v>
      </c>
      <c r="CA48" s="24">
        <f ca="1">INDIRECT("'"&amp;B2&amp;"'!D26")</f>
        <v>9</v>
      </c>
      <c r="CB48" s="24">
        <f ca="1">INDIRECT("'"&amp;B2&amp;"'!E26")</f>
        <v>0</v>
      </c>
      <c r="CC48" s="24">
        <f ca="1">INDIRECT("'"&amp;B2&amp;"'!f26")</f>
        <v>0</v>
      </c>
      <c r="CD48" s="24">
        <f ca="1">INDIRECT("'"&amp;B2&amp;"'!G26")</f>
        <v>0</v>
      </c>
      <c r="CE48" s="24">
        <f ca="1">INDIRECT("'"&amp;B2&amp;"'!h26")</f>
        <v>0</v>
      </c>
      <c r="CF48" s="24">
        <f ca="1">INDIRECT("'"&amp;B2&amp;"'!I26")</f>
        <v>0</v>
      </c>
      <c r="CG48" s="24">
        <f ca="1">INDIRECT("'"&amp;B2&amp;"'!J26")</f>
        <v>0</v>
      </c>
      <c r="CH48" s="24">
        <f ca="1">INDIRECT("'"&amp;B2&amp;"'!K26")</f>
        <v>0</v>
      </c>
      <c r="CI48" s="24">
        <f ca="1">INDIRECT("'"&amp;B2&amp;"'!L26")</f>
        <v>0</v>
      </c>
      <c r="CJ48" s="24">
        <f ca="1">INDIRECT("'"&amp;B2&amp;"'!M26")</f>
        <v>0</v>
      </c>
      <c r="CK48" s="24">
        <f ca="1">INDIRECT("'"&amp;B2&amp;"'!N26")</f>
        <v>0</v>
      </c>
      <c r="CL48" s="24">
        <f ca="1">INDIRECT("'"&amp;B2&amp;"'!O26")</f>
        <v>0</v>
      </c>
      <c r="CM48" s="24"/>
      <c r="CN48" s="137" t="s">
        <v>136</v>
      </c>
      <c r="CO48" s="133">
        <f t="shared" si="36"/>
        <v>2018</v>
      </c>
      <c r="CP48" s="163">
        <f t="shared" ca="1" si="37"/>
        <v>9</v>
      </c>
      <c r="CQ48" s="162">
        <f t="shared" ca="1" si="24"/>
        <v>0</v>
      </c>
      <c r="CR48" s="162">
        <f t="shared" ca="1" si="25"/>
        <v>0</v>
      </c>
      <c r="CS48" s="162">
        <f t="shared" ca="1" si="26"/>
        <v>0</v>
      </c>
      <c r="CT48" s="162">
        <f t="shared" ca="1" si="27"/>
        <v>0</v>
      </c>
      <c r="CU48" s="162">
        <f t="shared" ca="1" si="28"/>
        <v>0</v>
      </c>
      <c r="CV48" s="162">
        <f t="shared" ca="1" si="29"/>
        <v>0</v>
      </c>
      <c r="CW48" s="162">
        <f t="shared" ca="1" si="30"/>
        <v>0</v>
      </c>
      <c r="CX48" s="162">
        <f t="shared" ca="1" si="31"/>
        <v>0</v>
      </c>
      <c r="CY48" s="162">
        <f t="shared" ca="1" si="32"/>
        <v>0</v>
      </c>
      <c r="CZ48" s="162">
        <f t="shared" ca="1" si="33"/>
        <v>0</v>
      </c>
      <c r="DA48" s="162">
        <f t="shared" ca="1" si="34"/>
        <v>0</v>
      </c>
    </row>
    <row r="49" spans="1:105" ht="15.75"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15"/>
      <c r="BF49" s="125" t="s">
        <v>118</v>
      </c>
      <c r="BG49" s="115">
        <f>BG29</f>
        <v>2018</v>
      </c>
      <c r="BH49" s="115">
        <f ca="1">BH32</f>
        <v>1886</v>
      </c>
      <c r="BI49" s="115">
        <f t="shared" ref="BI49:BS49" ca="1" si="42">IF((BI32-BH32)&lt;=0,0,BI32-BH32)</f>
        <v>0</v>
      </c>
      <c r="BJ49" s="115">
        <f t="shared" ca="1" si="42"/>
        <v>0</v>
      </c>
      <c r="BK49" s="115">
        <f t="shared" ca="1" si="42"/>
        <v>0</v>
      </c>
      <c r="BL49" s="115">
        <f t="shared" ca="1" si="42"/>
        <v>0</v>
      </c>
      <c r="BM49" s="115">
        <f t="shared" ca="1" si="42"/>
        <v>0</v>
      </c>
      <c r="BN49" s="115">
        <f t="shared" ca="1" si="42"/>
        <v>0</v>
      </c>
      <c r="BO49" s="115">
        <f t="shared" ca="1" si="42"/>
        <v>0</v>
      </c>
      <c r="BP49" s="115">
        <f t="shared" ca="1" si="42"/>
        <v>0</v>
      </c>
      <c r="BQ49" s="115">
        <f t="shared" ca="1" si="42"/>
        <v>0</v>
      </c>
      <c r="BR49" s="115">
        <f t="shared" ca="1" si="42"/>
        <v>0</v>
      </c>
      <c r="BS49" s="115">
        <f t="shared" ca="1" si="42"/>
        <v>0</v>
      </c>
      <c r="BT49" s="115"/>
      <c r="BU49" s="108"/>
      <c r="BV49" s="108"/>
      <c r="BW49" s="108"/>
      <c r="BX49" s="108">
        <v>27</v>
      </c>
      <c r="BY49" s="137"/>
      <c r="BZ49" s="134">
        <f>Справочник!J1</f>
        <v>2019</v>
      </c>
      <c r="CA49" s="24">
        <f ca="1">INDIRECT("'"&amp;B2&amp;"'!D27")</f>
        <v>15</v>
      </c>
      <c r="CB49" s="24">
        <f ca="1">INDIRECT("'"&amp;B2&amp;"'!E27")</f>
        <v>0</v>
      </c>
      <c r="CC49" s="24">
        <f ca="1">INDIRECT("'"&amp;B2&amp;"'!f27")</f>
        <v>0</v>
      </c>
      <c r="CD49" s="24">
        <f ca="1">INDIRECT("'"&amp;B2&amp;"'!G27")</f>
        <v>0</v>
      </c>
      <c r="CE49" s="24">
        <f ca="1">INDIRECT("'"&amp;B2&amp;"'!h27")</f>
        <v>0</v>
      </c>
      <c r="CF49" s="24">
        <f ca="1">INDIRECT("'"&amp;B2&amp;"'!I27")</f>
        <v>0</v>
      </c>
      <c r="CG49" s="24">
        <f ca="1">INDIRECT("'"&amp;B2&amp;"'!J27")</f>
        <v>0</v>
      </c>
      <c r="CH49" s="24">
        <f ca="1">INDIRECT("'"&amp;B2&amp;"'!K27")</f>
        <v>0</v>
      </c>
      <c r="CI49" s="24">
        <f ca="1">INDIRECT("'"&amp;B2&amp;"'!L27")</f>
        <v>0</v>
      </c>
      <c r="CJ49" s="24">
        <f ca="1">INDIRECT("'"&amp;B2&amp;"'!M27")</f>
        <v>0</v>
      </c>
      <c r="CK49" s="24">
        <f ca="1">INDIRECT("'"&amp;B2&amp;"'!N27")</f>
        <v>0</v>
      </c>
      <c r="CL49" s="24">
        <f ca="1">INDIRECT("'"&amp;B2&amp;"'!O27")</f>
        <v>0</v>
      </c>
      <c r="CM49" s="24"/>
      <c r="CN49" s="137"/>
      <c r="CO49" s="133">
        <f t="shared" si="36"/>
        <v>2019</v>
      </c>
      <c r="CP49" s="163">
        <f t="shared" ca="1" si="37"/>
        <v>15</v>
      </c>
      <c r="CQ49" s="162">
        <f t="shared" ca="1" si="24"/>
        <v>0</v>
      </c>
      <c r="CR49" s="162">
        <f t="shared" ca="1" si="25"/>
        <v>0</v>
      </c>
      <c r="CS49" s="162">
        <f t="shared" ca="1" si="26"/>
        <v>0</v>
      </c>
      <c r="CT49" s="162">
        <f t="shared" ca="1" si="27"/>
        <v>0</v>
      </c>
      <c r="CU49" s="162">
        <f t="shared" ca="1" si="28"/>
        <v>0</v>
      </c>
      <c r="CV49" s="162">
        <f t="shared" ca="1" si="29"/>
        <v>0</v>
      </c>
      <c r="CW49" s="162">
        <f t="shared" ca="1" si="30"/>
        <v>0</v>
      </c>
      <c r="CX49" s="162">
        <f t="shared" ca="1" si="31"/>
        <v>0</v>
      </c>
      <c r="CY49" s="162">
        <f t="shared" ca="1" si="32"/>
        <v>0</v>
      </c>
      <c r="CZ49" s="162">
        <f t="shared" ca="1" si="33"/>
        <v>0</v>
      </c>
      <c r="DA49" s="162">
        <f t="shared" ca="1" si="34"/>
        <v>0</v>
      </c>
    </row>
    <row r="50" spans="1:105" ht="15.75"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15"/>
      <c r="BF50" s="125"/>
      <c r="BG50" s="115">
        <f>BG30</f>
        <v>2019</v>
      </c>
      <c r="BH50" s="115">
        <f t="shared" ref="BH50:BH64" ca="1" si="43">BH33</f>
        <v>1790</v>
      </c>
      <c r="BI50" s="115">
        <f t="shared" ref="BI50:BS50" ca="1" si="44">IF((BI33-BH33)&lt;=0,0,BI33-BH33)</f>
        <v>0</v>
      </c>
      <c r="BJ50" s="115">
        <f t="shared" ca="1" si="44"/>
        <v>0</v>
      </c>
      <c r="BK50" s="115">
        <f t="shared" ca="1" si="44"/>
        <v>0</v>
      </c>
      <c r="BL50" s="115">
        <f t="shared" ca="1" si="44"/>
        <v>0</v>
      </c>
      <c r="BM50" s="115">
        <f t="shared" ca="1" si="44"/>
        <v>0</v>
      </c>
      <c r="BN50" s="115">
        <f t="shared" ca="1" si="44"/>
        <v>0</v>
      </c>
      <c r="BO50" s="115">
        <f t="shared" ca="1" si="44"/>
        <v>0</v>
      </c>
      <c r="BP50" s="115">
        <f t="shared" ca="1" si="44"/>
        <v>0</v>
      </c>
      <c r="BQ50" s="115">
        <f t="shared" ca="1" si="44"/>
        <v>0</v>
      </c>
      <c r="BR50" s="115">
        <f t="shared" ca="1" si="44"/>
        <v>0</v>
      </c>
      <c r="BS50" s="115">
        <f t="shared" ca="1" si="44"/>
        <v>0</v>
      </c>
      <c r="BT50" s="115"/>
      <c r="BU50" s="108"/>
      <c r="BV50" s="108"/>
      <c r="BW50" s="108"/>
      <c r="BX50" s="108">
        <v>28</v>
      </c>
      <c r="BY50" s="138" t="s">
        <v>137</v>
      </c>
      <c r="BZ50" s="133">
        <f>Справочник!J2</f>
        <v>2018</v>
      </c>
      <c r="CA50" s="24">
        <f ca="1">INDIRECT("'"&amp;B2&amp;"'!D28")</f>
        <v>356</v>
      </c>
      <c r="CB50" s="24">
        <f ca="1">INDIRECT("'"&amp;B2&amp;"'!E28")</f>
        <v>0</v>
      </c>
      <c r="CC50" s="24">
        <f ca="1">INDIRECT("'"&amp;B2&amp;"'!f28")</f>
        <v>0</v>
      </c>
      <c r="CD50" s="24">
        <f ca="1">INDIRECT("'"&amp;B2&amp;"'!G28")</f>
        <v>0</v>
      </c>
      <c r="CE50" s="24">
        <f ca="1">INDIRECT("'"&amp;B2&amp;"'!h28")</f>
        <v>0</v>
      </c>
      <c r="CF50" s="24">
        <f ca="1">INDIRECT("'"&amp;B2&amp;"'!I28")</f>
        <v>0</v>
      </c>
      <c r="CG50" s="24">
        <f ca="1">INDIRECT("'"&amp;B2&amp;"'!J28")</f>
        <v>0</v>
      </c>
      <c r="CH50" s="24">
        <f ca="1">INDIRECT("'"&amp;B2&amp;"'!K28")</f>
        <v>0</v>
      </c>
      <c r="CI50" s="24">
        <f ca="1">INDIRECT("'"&amp;B2&amp;"'!L28")</f>
        <v>0</v>
      </c>
      <c r="CJ50" s="24">
        <f ca="1">INDIRECT("'"&amp;B2&amp;"'!M28")</f>
        <v>0</v>
      </c>
      <c r="CK50" s="24">
        <f ca="1">INDIRECT("'"&amp;B2&amp;"'!N28")</f>
        <v>0</v>
      </c>
      <c r="CL50" s="24">
        <f ca="1">INDIRECT("'"&amp;B2&amp;"'!O28")</f>
        <v>0</v>
      </c>
      <c r="CM50" s="24"/>
      <c r="CN50" s="138" t="s">
        <v>137</v>
      </c>
      <c r="CO50" s="133">
        <f t="shared" si="36"/>
        <v>2018</v>
      </c>
      <c r="CP50" s="163">
        <f t="shared" ca="1" si="37"/>
        <v>356</v>
      </c>
      <c r="CQ50" s="162">
        <f t="shared" ca="1" si="24"/>
        <v>0</v>
      </c>
      <c r="CR50" s="162">
        <f t="shared" ca="1" si="25"/>
        <v>0</v>
      </c>
      <c r="CS50" s="162">
        <f t="shared" ca="1" si="26"/>
        <v>0</v>
      </c>
      <c r="CT50" s="162">
        <f t="shared" ca="1" si="27"/>
        <v>0</v>
      </c>
      <c r="CU50" s="162">
        <f t="shared" ca="1" si="28"/>
        <v>0</v>
      </c>
      <c r="CV50" s="162">
        <f t="shared" ca="1" si="29"/>
        <v>0</v>
      </c>
      <c r="CW50" s="162">
        <f t="shared" ca="1" si="30"/>
        <v>0</v>
      </c>
      <c r="CX50" s="162">
        <f t="shared" ca="1" si="31"/>
        <v>0</v>
      </c>
      <c r="CY50" s="162">
        <f t="shared" ca="1" si="32"/>
        <v>0</v>
      </c>
      <c r="CZ50" s="162">
        <f t="shared" ca="1" si="33"/>
        <v>0</v>
      </c>
      <c r="DA50" s="162">
        <f t="shared" ca="1" si="34"/>
        <v>0</v>
      </c>
    </row>
    <row r="51" spans="1:105" ht="15.75"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15"/>
      <c r="BF51" s="125" t="s">
        <v>365</v>
      </c>
      <c r="BG51" s="115">
        <f t="shared" ref="BG51:BG66" si="45">BG49</f>
        <v>2018</v>
      </c>
      <c r="BH51" s="115">
        <f t="shared" ca="1" si="43"/>
        <v>432</v>
      </c>
      <c r="BI51" s="115">
        <f t="shared" ref="BI51:BS51" ca="1" si="46">IF((BI34-BH34)&lt;=0,0,BI34-BH34)</f>
        <v>0</v>
      </c>
      <c r="BJ51" s="115">
        <f t="shared" ca="1" si="46"/>
        <v>0</v>
      </c>
      <c r="BK51" s="115">
        <f t="shared" ca="1" si="46"/>
        <v>0</v>
      </c>
      <c r="BL51" s="115">
        <f t="shared" ca="1" si="46"/>
        <v>0</v>
      </c>
      <c r="BM51" s="115">
        <f t="shared" ca="1" si="46"/>
        <v>0</v>
      </c>
      <c r="BN51" s="115">
        <f t="shared" ca="1" si="46"/>
        <v>0</v>
      </c>
      <c r="BO51" s="115">
        <f t="shared" ca="1" si="46"/>
        <v>0</v>
      </c>
      <c r="BP51" s="115">
        <f t="shared" ca="1" si="46"/>
        <v>0</v>
      </c>
      <c r="BQ51" s="115">
        <f t="shared" ca="1" si="46"/>
        <v>0</v>
      </c>
      <c r="BR51" s="115">
        <f t="shared" ca="1" si="46"/>
        <v>0</v>
      </c>
      <c r="BS51" s="115">
        <f t="shared" ca="1" si="46"/>
        <v>0</v>
      </c>
      <c r="BT51" s="115"/>
      <c r="BU51" s="108"/>
      <c r="BV51" s="108"/>
      <c r="BW51" s="108"/>
      <c r="BX51" s="108">
        <v>29</v>
      </c>
      <c r="BY51" s="138"/>
      <c r="BZ51" s="134">
        <f>Справочник!J1</f>
        <v>2019</v>
      </c>
      <c r="CA51" s="24">
        <f ca="1">INDIRECT("'"&amp;B2&amp;"'!D29")</f>
        <v>300</v>
      </c>
      <c r="CB51" s="24">
        <f ca="1">INDIRECT("'"&amp;B2&amp;"'!E29")</f>
        <v>0</v>
      </c>
      <c r="CC51" s="24">
        <f ca="1">INDIRECT("'"&amp;B2&amp;"'!f29")</f>
        <v>0</v>
      </c>
      <c r="CD51" s="24">
        <f ca="1">INDIRECT("'"&amp;B2&amp;"'!G29")</f>
        <v>0</v>
      </c>
      <c r="CE51" s="24">
        <f ca="1">INDIRECT("'"&amp;B2&amp;"'!h29")</f>
        <v>0</v>
      </c>
      <c r="CF51" s="24">
        <f ca="1">INDIRECT("'"&amp;B2&amp;"'!I29")</f>
        <v>0</v>
      </c>
      <c r="CG51" s="24">
        <f ca="1">INDIRECT("'"&amp;B2&amp;"'!J29")</f>
        <v>0</v>
      </c>
      <c r="CH51" s="24">
        <f ca="1">INDIRECT("'"&amp;B2&amp;"'!K29")</f>
        <v>0</v>
      </c>
      <c r="CI51" s="24">
        <f ca="1">INDIRECT("'"&amp;B2&amp;"'!L29")</f>
        <v>0</v>
      </c>
      <c r="CJ51" s="24">
        <f ca="1">INDIRECT("'"&amp;B2&amp;"'!M29")</f>
        <v>0</v>
      </c>
      <c r="CK51" s="24">
        <f ca="1">INDIRECT("'"&amp;B2&amp;"'!N29")</f>
        <v>0</v>
      </c>
      <c r="CL51" s="24">
        <f ca="1">INDIRECT("'"&amp;B2&amp;"'!O29")</f>
        <v>0</v>
      </c>
      <c r="CM51" s="24"/>
      <c r="CN51" s="138"/>
      <c r="CO51" s="133">
        <f t="shared" si="36"/>
        <v>2019</v>
      </c>
      <c r="CP51" s="163">
        <f t="shared" ca="1" si="37"/>
        <v>300</v>
      </c>
      <c r="CQ51" s="162">
        <f t="shared" ca="1" si="24"/>
        <v>0</v>
      </c>
      <c r="CR51" s="162">
        <f t="shared" ca="1" si="25"/>
        <v>0</v>
      </c>
      <c r="CS51" s="162">
        <f t="shared" ca="1" si="26"/>
        <v>0</v>
      </c>
      <c r="CT51" s="162">
        <f t="shared" ca="1" si="27"/>
        <v>0</v>
      </c>
      <c r="CU51" s="162">
        <f t="shared" ca="1" si="28"/>
        <v>0</v>
      </c>
      <c r="CV51" s="162">
        <f t="shared" ca="1" si="29"/>
        <v>0</v>
      </c>
      <c r="CW51" s="162">
        <f t="shared" ca="1" si="30"/>
        <v>0</v>
      </c>
      <c r="CX51" s="162">
        <f t="shared" ca="1" si="31"/>
        <v>0</v>
      </c>
      <c r="CY51" s="162">
        <f t="shared" ca="1" si="32"/>
        <v>0</v>
      </c>
      <c r="CZ51" s="162">
        <f t="shared" ca="1" si="33"/>
        <v>0</v>
      </c>
      <c r="DA51" s="162">
        <f t="shared" ca="1" si="34"/>
        <v>0</v>
      </c>
    </row>
    <row r="52" spans="1:105" ht="15.75"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15"/>
      <c r="BF52" s="125"/>
      <c r="BG52" s="115">
        <f t="shared" si="45"/>
        <v>2019</v>
      </c>
      <c r="BH52" s="115">
        <f t="shared" ca="1" si="43"/>
        <v>309</v>
      </c>
      <c r="BI52" s="115">
        <f t="shared" ref="BI52:BS52" ca="1" si="47">IF((BI35-BH35)&lt;=0,0,BI35-BH35)</f>
        <v>0</v>
      </c>
      <c r="BJ52" s="115">
        <f t="shared" ca="1" si="47"/>
        <v>0</v>
      </c>
      <c r="BK52" s="115">
        <f t="shared" ca="1" si="47"/>
        <v>0</v>
      </c>
      <c r="BL52" s="115">
        <f t="shared" ca="1" si="47"/>
        <v>0</v>
      </c>
      <c r="BM52" s="115">
        <f t="shared" ca="1" si="47"/>
        <v>0</v>
      </c>
      <c r="BN52" s="115">
        <f t="shared" ca="1" si="47"/>
        <v>0</v>
      </c>
      <c r="BO52" s="115">
        <f t="shared" ca="1" si="47"/>
        <v>0</v>
      </c>
      <c r="BP52" s="115">
        <f t="shared" ca="1" si="47"/>
        <v>0</v>
      </c>
      <c r="BQ52" s="115">
        <f t="shared" ca="1" si="47"/>
        <v>0</v>
      </c>
      <c r="BR52" s="115">
        <f t="shared" ca="1" si="47"/>
        <v>0</v>
      </c>
      <c r="BS52" s="115">
        <f t="shared" ca="1" si="47"/>
        <v>0</v>
      </c>
      <c r="BT52" s="115"/>
      <c r="BU52" s="108"/>
      <c r="BV52" s="108"/>
      <c r="BW52" s="108"/>
      <c r="BX52" s="108">
        <v>30</v>
      </c>
      <c r="BY52" s="132" t="s">
        <v>139</v>
      </c>
      <c r="BZ52" s="133">
        <f>Справочник!J2</f>
        <v>2018</v>
      </c>
      <c r="CA52" s="24">
        <f ca="1">INDIRECT("'"&amp;B2&amp;"'!D30")</f>
        <v>19</v>
      </c>
      <c r="CB52" s="24">
        <f ca="1">INDIRECT("'"&amp;B2&amp;"'!E30")</f>
        <v>0</v>
      </c>
      <c r="CC52" s="24">
        <f ca="1">INDIRECT("'"&amp;B2&amp;"'!f30")</f>
        <v>0</v>
      </c>
      <c r="CD52" s="24">
        <f ca="1">INDIRECT("'"&amp;B2&amp;"'!G30")</f>
        <v>0</v>
      </c>
      <c r="CE52" s="24">
        <f ca="1">INDIRECT("'"&amp;B2&amp;"'!h30")</f>
        <v>0</v>
      </c>
      <c r="CF52" s="24">
        <f ca="1">INDIRECT("'"&amp;B2&amp;"'!I30")</f>
        <v>0</v>
      </c>
      <c r="CG52" s="24">
        <f ca="1">INDIRECT("'"&amp;B2&amp;"'!J30")</f>
        <v>0</v>
      </c>
      <c r="CH52" s="24">
        <f ca="1">INDIRECT("'"&amp;B2&amp;"'!K30")</f>
        <v>0</v>
      </c>
      <c r="CI52" s="24">
        <f ca="1">INDIRECT("'"&amp;B2&amp;"'!L30")</f>
        <v>0</v>
      </c>
      <c r="CJ52" s="24">
        <f ca="1">INDIRECT("'"&amp;B2&amp;"'!M30")</f>
        <v>0</v>
      </c>
      <c r="CK52" s="24">
        <f ca="1">INDIRECT("'"&amp;B2&amp;"'!N30")</f>
        <v>0</v>
      </c>
      <c r="CL52" s="24">
        <f ca="1">INDIRECT("'"&amp;B2&amp;"'!O30")</f>
        <v>0</v>
      </c>
      <c r="CM52" s="24"/>
      <c r="CN52" s="132" t="s">
        <v>139</v>
      </c>
      <c r="CO52" s="133">
        <f t="shared" si="36"/>
        <v>2018</v>
      </c>
      <c r="CP52" s="163">
        <f t="shared" ca="1" si="37"/>
        <v>19</v>
      </c>
      <c r="CQ52" s="162">
        <f t="shared" ca="1" si="24"/>
        <v>0</v>
      </c>
      <c r="CR52" s="162">
        <f t="shared" ca="1" si="25"/>
        <v>0</v>
      </c>
      <c r="CS52" s="162">
        <f t="shared" ca="1" si="26"/>
        <v>0</v>
      </c>
      <c r="CT52" s="162">
        <f t="shared" ca="1" si="27"/>
        <v>0</v>
      </c>
      <c r="CU52" s="162">
        <f t="shared" ca="1" si="28"/>
        <v>0</v>
      </c>
      <c r="CV52" s="162">
        <f t="shared" ca="1" si="29"/>
        <v>0</v>
      </c>
      <c r="CW52" s="162">
        <f t="shared" ca="1" si="30"/>
        <v>0</v>
      </c>
      <c r="CX52" s="162">
        <f t="shared" ca="1" si="31"/>
        <v>0</v>
      </c>
      <c r="CY52" s="162">
        <f t="shared" ca="1" si="32"/>
        <v>0</v>
      </c>
      <c r="CZ52" s="162">
        <f t="shared" ca="1" si="33"/>
        <v>0</v>
      </c>
      <c r="DA52" s="162">
        <f t="shared" ca="1" si="34"/>
        <v>0</v>
      </c>
    </row>
    <row r="53" spans="1:105" ht="15.75"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15"/>
      <c r="BF53" s="125" t="s">
        <v>351</v>
      </c>
      <c r="BG53" s="115">
        <f t="shared" si="45"/>
        <v>2018</v>
      </c>
      <c r="BH53" s="115">
        <f t="shared" ca="1" si="43"/>
        <v>18</v>
      </c>
      <c r="BI53" s="115">
        <f t="shared" ref="BI53:BS53" ca="1" si="48">IF((BI36-BH36)&lt;=0,0,BI36-BH36)</f>
        <v>0</v>
      </c>
      <c r="BJ53" s="115">
        <f t="shared" ca="1" si="48"/>
        <v>0</v>
      </c>
      <c r="BK53" s="115">
        <f t="shared" ca="1" si="48"/>
        <v>0</v>
      </c>
      <c r="BL53" s="115">
        <f t="shared" ca="1" si="48"/>
        <v>0</v>
      </c>
      <c r="BM53" s="115">
        <f t="shared" ca="1" si="48"/>
        <v>0</v>
      </c>
      <c r="BN53" s="115">
        <f t="shared" ca="1" si="48"/>
        <v>0</v>
      </c>
      <c r="BO53" s="115">
        <f t="shared" ca="1" si="48"/>
        <v>0</v>
      </c>
      <c r="BP53" s="115">
        <f t="shared" ca="1" si="48"/>
        <v>0</v>
      </c>
      <c r="BQ53" s="115">
        <f t="shared" ca="1" si="48"/>
        <v>0</v>
      </c>
      <c r="BR53" s="115">
        <f t="shared" ca="1" si="48"/>
        <v>0</v>
      </c>
      <c r="BS53" s="115">
        <f t="shared" ca="1" si="48"/>
        <v>0</v>
      </c>
      <c r="BT53" s="115"/>
      <c r="BU53" s="108"/>
      <c r="BV53" s="108"/>
      <c r="BW53" s="108"/>
      <c r="BX53" s="108">
        <v>31</v>
      </c>
      <c r="BY53" s="132"/>
      <c r="BZ53" s="134">
        <f>Справочник!J1</f>
        <v>2019</v>
      </c>
      <c r="CA53" s="24">
        <f ca="1">INDIRECT("'"&amp;B2&amp;"'!D31")</f>
        <v>17</v>
      </c>
      <c r="CB53" s="24">
        <f ca="1">INDIRECT("'"&amp;B2&amp;"'!E31")</f>
        <v>0</v>
      </c>
      <c r="CC53" s="24">
        <f ca="1">INDIRECT("'"&amp;B2&amp;"'!f31")</f>
        <v>0</v>
      </c>
      <c r="CD53" s="24">
        <f ca="1">INDIRECT("'"&amp;B2&amp;"'!G31")</f>
        <v>0</v>
      </c>
      <c r="CE53" s="24">
        <f ca="1">INDIRECT("'"&amp;B2&amp;"'!h31")</f>
        <v>0</v>
      </c>
      <c r="CF53" s="24">
        <f ca="1">INDIRECT("'"&amp;B2&amp;"'!I31")</f>
        <v>0</v>
      </c>
      <c r="CG53" s="24">
        <f ca="1">INDIRECT("'"&amp;B2&amp;"'!J31")</f>
        <v>0</v>
      </c>
      <c r="CH53" s="24">
        <f ca="1">INDIRECT("'"&amp;B2&amp;"'!K31")</f>
        <v>0</v>
      </c>
      <c r="CI53" s="24">
        <f ca="1">INDIRECT("'"&amp;B2&amp;"'!L31")</f>
        <v>0</v>
      </c>
      <c r="CJ53" s="24">
        <f ca="1">INDIRECT("'"&amp;B2&amp;"'!M31")</f>
        <v>0</v>
      </c>
      <c r="CK53" s="24">
        <f ca="1">INDIRECT("'"&amp;B2&amp;"'!N31")</f>
        <v>0</v>
      </c>
      <c r="CL53" s="24">
        <f ca="1">INDIRECT("'"&amp;B2&amp;"'!O31")</f>
        <v>0</v>
      </c>
      <c r="CM53" s="24"/>
      <c r="CN53" s="132"/>
      <c r="CO53" s="133">
        <f t="shared" si="36"/>
        <v>2019</v>
      </c>
      <c r="CP53" s="163">
        <f t="shared" ca="1" si="37"/>
        <v>17</v>
      </c>
      <c r="CQ53" s="162">
        <f t="shared" ca="1" si="24"/>
        <v>0</v>
      </c>
      <c r="CR53" s="162">
        <f t="shared" ca="1" si="25"/>
        <v>0</v>
      </c>
      <c r="CS53" s="162">
        <f t="shared" ca="1" si="26"/>
        <v>0</v>
      </c>
      <c r="CT53" s="162">
        <f t="shared" ca="1" si="27"/>
        <v>0</v>
      </c>
      <c r="CU53" s="162">
        <f t="shared" ca="1" si="28"/>
        <v>0</v>
      </c>
      <c r="CV53" s="162">
        <f t="shared" ca="1" si="29"/>
        <v>0</v>
      </c>
      <c r="CW53" s="162">
        <f t="shared" ca="1" si="30"/>
        <v>0</v>
      </c>
      <c r="CX53" s="162">
        <f t="shared" ca="1" si="31"/>
        <v>0</v>
      </c>
      <c r="CY53" s="162">
        <f t="shared" ca="1" si="32"/>
        <v>0</v>
      </c>
      <c r="CZ53" s="162">
        <f t="shared" ca="1" si="33"/>
        <v>0</v>
      </c>
      <c r="DA53" s="162">
        <f t="shared" ca="1" si="34"/>
        <v>0</v>
      </c>
    </row>
    <row r="54" spans="1:105" ht="15.75"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15"/>
      <c r="BF54" s="125"/>
      <c r="BG54" s="115">
        <f t="shared" si="45"/>
        <v>2019</v>
      </c>
      <c r="BH54" s="115">
        <f t="shared" ca="1" si="43"/>
        <v>19</v>
      </c>
      <c r="BI54" s="115">
        <f t="shared" ref="BI54:BS54" ca="1" si="49">IF((BI37-BH37)&lt;=0,0,BI37-BH37)</f>
        <v>0</v>
      </c>
      <c r="BJ54" s="115">
        <f t="shared" ca="1" si="49"/>
        <v>0</v>
      </c>
      <c r="BK54" s="115">
        <f t="shared" ca="1" si="49"/>
        <v>0</v>
      </c>
      <c r="BL54" s="115">
        <f t="shared" ca="1" si="49"/>
        <v>0</v>
      </c>
      <c r="BM54" s="115">
        <f t="shared" ca="1" si="49"/>
        <v>0</v>
      </c>
      <c r="BN54" s="115">
        <f t="shared" ca="1" si="49"/>
        <v>0</v>
      </c>
      <c r="BO54" s="115">
        <f t="shared" ca="1" si="49"/>
        <v>0</v>
      </c>
      <c r="BP54" s="115">
        <f t="shared" ca="1" si="49"/>
        <v>0</v>
      </c>
      <c r="BQ54" s="115">
        <f t="shared" ca="1" si="49"/>
        <v>0</v>
      </c>
      <c r="BR54" s="115">
        <f t="shared" ca="1" si="49"/>
        <v>0</v>
      </c>
      <c r="BS54" s="115">
        <f t="shared" ca="1" si="49"/>
        <v>0</v>
      </c>
      <c r="BT54" s="115"/>
      <c r="BU54" s="108"/>
      <c r="BV54" s="108"/>
      <c r="BW54" s="108"/>
      <c r="BX54" s="108">
        <v>32</v>
      </c>
      <c r="BY54" s="135" t="s">
        <v>140</v>
      </c>
      <c r="BZ54" s="133">
        <f>Справочник!J2</f>
        <v>2018</v>
      </c>
      <c r="CA54" s="24">
        <f ca="1">INDIRECT("'"&amp;B2&amp;"'!D32")</f>
        <v>2</v>
      </c>
      <c r="CB54" s="24">
        <f ca="1">INDIRECT("'"&amp;B2&amp;"'!E32")</f>
        <v>0</v>
      </c>
      <c r="CC54" s="24">
        <f ca="1">INDIRECT("'"&amp;B2&amp;"'!f32")</f>
        <v>0</v>
      </c>
      <c r="CD54" s="24">
        <f ca="1">INDIRECT("'"&amp;B2&amp;"'!G32")</f>
        <v>0</v>
      </c>
      <c r="CE54" s="24">
        <f ca="1">INDIRECT("'"&amp;B2&amp;"'!h32")</f>
        <v>0</v>
      </c>
      <c r="CF54" s="24">
        <f ca="1">INDIRECT("'"&amp;B2&amp;"'!I32")</f>
        <v>0</v>
      </c>
      <c r="CG54" s="24">
        <f ca="1">INDIRECT("'"&amp;B2&amp;"'!J32")</f>
        <v>0</v>
      </c>
      <c r="CH54" s="24">
        <f ca="1">INDIRECT("'"&amp;B2&amp;"'!K32")</f>
        <v>0</v>
      </c>
      <c r="CI54" s="24">
        <f ca="1">INDIRECT("'"&amp;B2&amp;"'!L32")</f>
        <v>0</v>
      </c>
      <c r="CJ54" s="24">
        <f ca="1">INDIRECT("'"&amp;B2&amp;"'!M32")</f>
        <v>0</v>
      </c>
      <c r="CK54" s="24">
        <f ca="1">INDIRECT("'"&amp;B2&amp;"'!N32")</f>
        <v>0</v>
      </c>
      <c r="CL54" s="24">
        <f ca="1">INDIRECT("'"&amp;B2&amp;"'!O32")</f>
        <v>0</v>
      </c>
      <c r="CM54" s="24"/>
      <c r="CN54" s="135" t="s">
        <v>140</v>
      </c>
      <c r="CO54" s="133">
        <f t="shared" si="36"/>
        <v>2018</v>
      </c>
      <c r="CP54" s="163">
        <f t="shared" ca="1" si="37"/>
        <v>2</v>
      </c>
      <c r="CQ54" s="162">
        <f t="shared" ca="1" si="24"/>
        <v>0</v>
      </c>
      <c r="CR54" s="162">
        <f t="shared" ca="1" si="25"/>
        <v>0</v>
      </c>
      <c r="CS54" s="162">
        <f t="shared" ca="1" si="26"/>
        <v>0</v>
      </c>
      <c r="CT54" s="162">
        <f t="shared" ca="1" si="27"/>
        <v>0</v>
      </c>
      <c r="CU54" s="162">
        <f t="shared" ca="1" si="28"/>
        <v>0</v>
      </c>
      <c r="CV54" s="162">
        <f t="shared" ca="1" si="29"/>
        <v>0</v>
      </c>
      <c r="CW54" s="162">
        <f t="shared" ca="1" si="30"/>
        <v>0</v>
      </c>
      <c r="CX54" s="162">
        <f t="shared" ca="1" si="31"/>
        <v>0</v>
      </c>
      <c r="CY54" s="162">
        <f t="shared" ca="1" si="32"/>
        <v>0</v>
      </c>
      <c r="CZ54" s="162">
        <f t="shared" ca="1" si="33"/>
        <v>0</v>
      </c>
      <c r="DA54" s="162">
        <f t="shared" ca="1" si="34"/>
        <v>0</v>
      </c>
    </row>
    <row r="55" spans="1:105" ht="16.5">
      <c r="A55" s="164" t="str">
        <f>A3</f>
        <v>Красноярский край</v>
      </c>
      <c r="B55" s="72"/>
      <c r="C55" s="72"/>
      <c r="D55" s="72"/>
      <c r="E55" s="72"/>
      <c r="F55" s="72"/>
      <c r="G55" s="76" t="s">
        <v>370</v>
      </c>
      <c r="H55" s="146" t="str">
        <f>H3</f>
        <v>Красноярский край</v>
      </c>
      <c r="I55" s="72"/>
      <c r="J55" s="72"/>
      <c r="K55" s="72"/>
      <c r="L55" s="72"/>
      <c r="M55" s="72"/>
      <c r="N55" s="76"/>
      <c r="P55" s="76" t="s">
        <v>507</v>
      </c>
      <c r="Q55" s="146" t="str">
        <f>Q3</f>
        <v>Красноярский край</v>
      </c>
      <c r="R55" s="72"/>
      <c r="S55" s="72"/>
      <c r="T55" s="72"/>
      <c r="U55" s="72"/>
      <c r="V55" s="72"/>
      <c r="W55" s="76"/>
      <c r="X55" s="108"/>
      <c r="Y55" s="76" t="s">
        <v>508</v>
      </c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15"/>
      <c r="BF55" s="125" t="s">
        <v>374</v>
      </c>
      <c r="BG55" s="115">
        <f t="shared" si="45"/>
        <v>2018</v>
      </c>
      <c r="BH55" s="115">
        <f t="shared" ca="1" si="43"/>
        <v>62</v>
      </c>
      <c r="BI55" s="115">
        <f t="shared" ref="BI55:BS55" ca="1" si="50">IF((BI38-BH38)&lt;=0,0,BI38-BH38)</f>
        <v>0</v>
      </c>
      <c r="BJ55" s="115">
        <f t="shared" ca="1" si="50"/>
        <v>0</v>
      </c>
      <c r="BK55" s="115">
        <f t="shared" ca="1" si="50"/>
        <v>0</v>
      </c>
      <c r="BL55" s="115">
        <f t="shared" ca="1" si="50"/>
        <v>0</v>
      </c>
      <c r="BM55" s="115">
        <f t="shared" ca="1" si="50"/>
        <v>0</v>
      </c>
      <c r="BN55" s="115">
        <f t="shared" ca="1" si="50"/>
        <v>0</v>
      </c>
      <c r="BO55" s="115">
        <f t="shared" ca="1" si="50"/>
        <v>0</v>
      </c>
      <c r="BP55" s="115">
        <f t="shared" ca="1" si="50"/>
        <v>0</v>
      </c>
      <c r="BQ55" s="115">
        <f t="shared" ca="1" si="50"/>
        <v>0</v>
      </c>
      <c r="BR55" s="115">
        <f t="shared" ca="1" si="50"/>
        <v>0</v>
      </c>
      <c r="BS55" s="115">
        <f t="shared" ca="1" si="50"/>
        <v>0</v>
      </c>
      <c r="BT55" s="115"/>
      <c r="BU55" s="108"/>
      <c r="BV55" s="108"/>
      <c r="BW55" s="108"/>
      <c r="BX55" s="108">
        <v>33</v>
      </c>
      <c r="BY55" s="135"/>
      <c r="BZ55" s="134">
        <f>Справочник!J1</f>
        <v>2019</v>
      </c>
      <c r="CA55" s="24">
        <f ca="1">INDIRECT("'"&amp;B2&amp;"'!D33")</f>
        <v>3</v>
      </c>
      <c r="CB55" s="24">
        <f ca="1">INDIRECT("'"&amp;B2&amp;"'!E33")</f>
        <v>0</v>
      </c>
      <c r="CC55" s="24">
        <f ca="1">INDIRECT("'"&amp;B2&amp;"'!f33")</f>
        <v>0</v>
      </c>
      <c r="CD55" s="24">
        <f ca="1">INDIRECT("'"&amp;B2&amp;"'!G33")</f>
        <v>0</v>
      </c>
      <c r="CE55" s="24">
        <f ca="1">INDIRECT("'"&amp;B2&amp;"'!h33")</f>
        <v>0</v>
      </c>
      <c r="CF55" s="24">
        <f ca="1">INDIRECT("'"&amp;B2&amp;"'!I33")</f>
        <v>0</v>
      </c>
      <c r="CG55" s="24">
        <f ca="1">INDIRECT("'"&amp;B2&amp;"'!J33")</f>
        <v>0</v>
      </c>
      <c r="CH55" s="24">
        <f ca="1">INDIRECT("'"&amp;B2&amp;"'!K33")</f>
        <v>0</v>
      </c>
      <c r="CI55" s="24">
        <f ca="1">INDIRECT("'"&amp;B2&amp;"'!L33")</f>
        <v>0</v>
      </c>
      <c r="CJ55" s="24">
        <f ca="1">INDIRECT("'"&amp;B2&amp;"'!M33")</f>
        <v>0</v>
      </c>
      <c r="CK55" s="24">
        <f ca="1">INDIRECT("'"&amp;B2&amp;"'!N33")</f>
        <v>0</v>
      </c>
      <c r="CL55" s="24">
        <f ca="1">INDIRECT("'"&amp;B2&amp;"'!O33")</f>
        <v>0</v>
      </c>
      <c r="CM55" s="24"/>
      <c r="CN55" s="135"/>
      <c r="CO55" s="133">
        <f t="shared" si="36"/>
        <v>2019</v>
      </c>
      <c r="CP55" s="163">
        <f t="shared" ca="1" si="37"/>
        <v>3</v>
      </c>
      <c r="CQ55" s="162">
        <f t="shared" ca="1" si="24"/>
        <v>0</v>
      </c>
      <c r="CR55" s="162">
        <f t="shared" ca="1" si="25"/>
        <v>0</v>
      </c>
      <c r="CS55" s="162">
        <f t="shared" ca="1" si="26"/>
        <v>0</v>
      </c>
      <c r="CT55" s="162">
        <f t="shared" ca="1" si="27"/>
        <v>0</v>
      </c>
      <c r="CU55" s="162">
        <f t="shared" ca="1" si="28"/>
        <v>0</v>
      </c>
      <c r="CV55" s="162">
        <f t="shared" ca="1" si="29"/>
        <v>0</v>
      </c>
      <c r="CW55" s="162">
        <f t="shared" ca="1" si="30"/>
        <v>0</v>
      </c>
      <c r="CX55" s="162">
        <f t="shared" ca="1" si="31"/>
        <v>0</v>
      </c>
      <c r="CY55" s="162">
        <f t="shared" ca="1" si="32"/>
        <v>0</v>
      </c>
      <c r="CZ55" s="162">
        <f t="shared" ca="1" si="33"/>
        <v>0</v>
      </c>
      <c r="DA55" s="162">
        <f t="shared" ca="1" si="34"/>
        <v>0</v>
      </c>
    </row>
    <row r="56" spans="1:105" ht="18.75">
      <c r="A56" s="1" t="s">
        <v>523</v>
      </c>
      <c r="H56" s="181" t="s">
        <v>363</v>
      </c>
      <c r="I56" s="182"/>
      <c r="J56" s="182"/>
      <c r="K56" s="182"/>
      <c r="L56" s="184" t="str">
        <f>CONCATENATE(BZ26," г. -")</f>
        <v>2018 г. -</v>
      </c>
      <c r="M56" s="186">
        <f ca="1">BZ2</f>
        <v>1886</v>
      </c>
      <c r="N56" s="185" t="str">
        <f>CONCATENATE(BZ27," г. -")</f>
        <v>2019 г. -</v>
      </c>
      <c r="O56" s="186">
        <f ca="1">BZ3</f>
        <v>1790</v>
      </c>
      <c r="P56" s="183">
        <f ca="1">IFERROR(O56/M56*100-100,IF(O56&gt;0,100,0))/100</f>
        <v>-5.0901378579003162E-2</v>
      </c>
      <c r="Q56" s="333" t="s">
        <v>362</v>
      </c>
      <c r="R56" s="333"/>
      <c r="S56" s="333"/>
      <c r="T56" s="333"/>
      <c r="U56" s="333"/>
      <c r="V56" s="333"/>
      <c r="W56" s="333"/>
      <c r="X56" s="333"/>
      <c r="Y56" s="333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25"/>
      <c r="BG56" s="115">
        <f t="shared" si="45"/>
        <v>2019</v>
      </c>
      <c r="BH56" s="115">
        <f t="shared" ca="1" si="43"/>
        <v>3</v>
      </c>
      <c r="BI56" s="115">
        <f t="shared" ref="BI56:BS56" ca="1" si="51">IF((BI39-BH39)&lt;=0,0,BI39-BH39)</f>
        <v>0</v>
      </c>
      <c r="BJ56" s="115">
        <f t="shared" ca="1" si="51"/>
        <v>0</v>
      </c>
      <c r="BK56" s="115">
        <f t="shared" ca="1" si="51"/>
        <v>0</v>
      </c>
      <c r="BL56" s="115">
        <f t="shared" ca="1" si="51"/>
        <v>0</v>
      </c>
      <c r="BM56" s="115">
        <f t="shared" ca="1" si="51"/>
        <v>0</v>
      </c>
      <c r="BN56" s="115">
        <f t="shared" ca="1" si="51"/>
        <v>0</v>
      </c>
      <c r="BO56" s="115">
        <f t="shared" ca="1" si="51"/>
        <v>0</v>
      </c>
      <c r="BP56" s="115">
        <f t="shared" ca="1" si="51"/>
        <v>0</v>
      </c>
      <c r="BQ56" s="115">
        <f t="shared" ca="1" si="51"/>
        <v>0</v>
      </c>
      <c r="BR56" s="115">
        <f t="shared" ca="1" si="51"/>
        <v>0</v>
      </c>
      <c r="BS56" s="115">
        <f t="shared" ca="1" si="51"/>
        <v>0</v>
      </c>
      <c r="BT56" s="108"/>
      <c r="BU56" s="108"/>
      <c r="BV56" s="108"/>
      <c r="BW56" s="108"/>
      <c r="BX56" s="108">
        <v>34</v>
      </c>
      <c r="BY56" s="132" t="s">
        <v>142</v>
      </c>
      <c r="BZ56" s="133">
        <f>Справочник!J2</f>
        <v>2018</v>
      </c>
      <c r="CA56" s="24">
        <f ca="1">INDIRECT("'"&amp;B2&amp;"'!D34")</f>
        <v>158</v>
      </c>
      <c r="CB56" s="24">
        <f ca="1">INDIRECT("'"&amp;B2&amp;"'!E34")</f>
        <v>0</v>
      </c>
      <c r="CC56" s="24">
        <f ca="1">INDIRECT("'"&amp;B2&amp;"'!f34")</f>
        <v>0</v>
      </c>
      <c r="CD56" s="24">
        <f ca="1">INDIRECT("'"&amp;B2&amp;"'!G34")</f>
        <v>0</v>
      </c>
      <c r="CE56" s="24">
        <f ca="1">INDIRECT("'"&amp;B2&amp;"'!h34")</f>
        <v>0</v>
      </c>
      <c r="CF56" s="24">
        <f ca="1">INDIRECT("'"&amp;B2&amp;"'!I34")</f>
        <v>0</v>
      </c>
      <c r="CG56" s="24">
        <f ca="1">INDIRECT("'"&amp;B2&amp;"'!J34")</f>
        <v>0</v>
      </c>
      <c r="CH56" s="24">
        <f ca="1">INDIRECT("'"&amp;B2&amp;"'!K34")</f>
        <v>0</v>
      </c>
      <c r="CI56" s="24">
        <f ca="1">INDIRECT("'"&amp;B2&amp;"'!L34")</f>
        <v>0</v>
      </c>
      <c r="CJ56" s="24">
        <f ca="1">INDIRECT("'"&amp;B2&amp;"'!M34")</f>
        <v>0</v>
      </c>
      <c r="CK56" s="24">
        <f ca="1">INDIRECT("'"&amp;B2&amp;"'!N34")</f>
        <v>0</v>
      </c>
      <c r="CL56" s="24">
        <f ca="1">INDIRECT("'"&amp;B2&amp;"'!O34")</f>
        <v>0</v>
      </c>
      <c r="CM56" s="24"/>
      <c r="CN56" s="132" t="s">
        <v>142</v>
      </c>
      <c r="CO56" s="133">
        <f t="shared" si="36"/>
        <v>2018</v>
      </c>
      <c r="CP56" s="163">
        <f t="shared" ca="1" si="37"/>
        <v>158</v>
      </c>
      <c r="CQ56" s="162">
        <f t="shared" ca="1" si="24"/>
        <v>0</v>
      </c>
      <c r="CR56" s="162">
        <f t="shared" ca="1" si="25"/>
        <v>0</v>
      </c>
      <c r="CS56" s="162">
        <f t="shared" ca="1" si="26"/>
        <v>0</v>
      </c>
      <c r="CT56" s="162">
        <f t="shared" ca="1" si="27"/>
        <v>0</v>
      </c>
      <c r="CU56" s="162">
        <f t="shared" ca="1" si="28"/>
        <v>0</v>
      </c>
      <c r="CV56" s="162">
        <f t="shared" ca="1" si="29"/>
        <v>0</v>
      </c>
      <c r="CW56" s="162">
        <f t="shared" ca="1" si="30"/>
        <v>0</v>
      </c>
      <c r="CX56" s="162">
        <f t="shared" ca="1" si="31"/>
        <v>0</v>
      </c>
      <c r="CY56" s="162">
        <f t="shared" ca="1" si="32"/>
        <v>0</v>
      </c>
      <c r="CZ56" s="162">
        <f t="shared" ca="1" si="33"/>
        <v>0</v>
      </c>
      <c r="DA56" s="162">
        <f t="shared" ca="1" si="34"/>
        <v>0</v>
      </c>
    </row>
    <row r="57" spans="1:105" ht="15.75"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25" t="s">
        <v>378</v>
      </c>
      <c r="BG57" s="115">
        <f t="shared" si="45"/>
        <v>2018</v>
      </c>
      <c r="BH57" s="115">
        <f t="shared" ca="1" si="43"/>
        <v>13</v>
      </c>
      <c r="BI57" s="115">
        <f t="shared" ref="BI57:BS57" ca="1" si="52">IF((BI40-BH40)&lt;=0,0,BI40-BH40)</f>
        <v>0</v>
      </c>
      <c r="BJ57" s="115">
        <f t="shared" ca="1" si="52"/>
        <v>0</v>
      </c>
      <c r="BK57" s="115">
        <f t="shared" ca="1" si="52"/>
        <v>0</v>
      </c>
      <c r="BL57" s="115">
        <f t="shared" ca="1" si="52"/>
        <v>0</v>
      </c>
      <c r="BM57" s="115">
        <f t="shared" ca="1" si="52"/>
        <v>0</v>
      </c>
      <c r="BN57" s="115">
        <f t="shared" ca="1" si="52"/>
        <v>0</v>
      </c>
      <c r="BO57" s="115">
        <f t="shared" ca="1" si="52"/>
        <v>0</v>
      </c>
      <c r="BP57" s="115">
        <f t="shared" ca="1" si="52"/>
        <v>0</v>
      </c>
      <c r="BQ57" s="115">
        <f t="shared" ca="1" si="52"/>
        <v>0</v>
      </c>
      <c r="BR57" s="115">
        <f t="shared" ca="1" si="52"/>
        <v>0</v>
      </c>
      <c r="BS57" s="115">
        <f t="shared" ca="1" si="52"/>
        <v>0</v>
      </c>
      <c r="BT57" s="108"/>
      <c r="BU57" s="108"/>
      <c r="BV57" s="108"/>
      <c r="BW57" s="108"/>
      <c r="BX57" s="108">
        <v>35</v>
      </c>
      <c r="BY57" s="132"/>
      <c r="BZ57" s="134">
        <f>Справочник!J1</f>
        <v>2019</v>
      </c>
      <c r="CA57" s="24">
        <f ca="1">INDIRECT("'"&amp;B2&amp;"'!D35")</f>
        <v>129</v>
      </c>
      <c r="CB57" s="24">
        <f ca="1">INDIRECT("'"&amp;B2&amp;"'!E35")</f>
        <v>0</v>
      </c>
      <c r="CC57" s="24">
        <f ca="1">INDIRECT("'"&amp;B2&amp;"'!f35")</f>
        <v>0</v>
      </c>
      <c r="CD57" s="24">
        <f ca="1">INDIRECT("'"&amp;B2&amp;"'!G35")</f>
        <v>0</v>
      </c>
      <c r="CE57" s="24">
        <f ca="1">INDIRECT("'"&amp;B2&amp;"'!h35")</f>
        <v>0</v>
      </c>
      <c r="CF57" s="24">
        <f ca="1">INDIRECT("'"&amp;B2&amp;"'!I35")</f>
        <v>0</v>
      </c>
      <c r="CG57" s="24">
        <f ca="1">INDIRECT("'"&amp;B2&amp;"'!J35")</f>
        <v>0</v>
      </c>
      <c r="CH57" s="24">
        <f ca="1">INDIRECT("'"&amp;B2&amp;"'!K35")</f>
        <v>0</v>
      </c>
      <c r="CI57" s="24">
        <f ca="1">INDIRECT("'"&amp;B2&amp;"'!L35")</f>
        <v>0</v>
      </c>
      <c r="CJ57" s="24">
        <f ca="1">INDIRECT("'"&amp;B2&amp;"'!M35")</f>
        <v>0</v>
      </c>
      <c r="CK57" s="24">
        <f ca="1">INDIRECT("'"&amp;B2&amp;"'!N35")</f>
        <v>0</v>
      </c>
      <c r="CL57" s="24">
        <f ca="1">INDIRECT("'"&amp;B2&amp;"'!O35")</f>
        <v>0</v>
      </c>
      <c r="CM57" s="24"/>
      <c r="CN57" s="132"/>
      <c r="CO57" s="133">
        <f t="shared" si="36"/>
        <v>2019</v>
      </c>
      <c r="CP57" s="163">
        <f t="shared" ca="1" si="37"/>
        <v>129</v>
      </c>
      <c r="CQ57" s="162">
        <f t="shared" ca="1" si="24"/>
        <v>0</v>
      </c>
      <c r="CR57" s="162">
        <f t="shared" ca="1" si="25"/>
        <v>0</v>
      </c>
      <c r="CS57" s="162">
        <f t="shared" ca="1" si="26"/>
        <v>0</v>
      </c>
      <c r="CT57" s="162">
        <f t="shared" ca="1" si="27"/>
        <v>0</v>
      </c>
      <c r="CU57" s="162">
        <f t="shared" ca="1" si="28"/>
        <v>0</v>
      </c>
      <c r="CV57" s="162">
        <f t="shared" ca="1" si="29"/>
        <v>0</v>
      </c>
      <c r="CW57" s="162">
        <f t="shared" ca="1" si="30"/>
        <v>0</v>
      </c>
      <c r="CX57" s="162">
        <f t="shared" ca="1" si="31"/>
        <v>0</v>
      </c>
      <c r="CY57" s="162">
        <f t="shared" ca="1" si="32"/>
        <v>0</v>
      </c>
      <c r="CZ57" s="162">
        <f t="shared" ca="1" si="33"/>
        <v>0</v>
      </c>
      <c r="DA57" s="162">
        <f t="shared" ca="1" si="34"/>
        <v>0</v>
      </c>
    </row>
    <row r="58" spans="1:105" ht="15.75">
      <c r="H58" s="333"/>
      <c r="I58" s="333"/>
      <c r="J58" s="333"/>
      <c r="K58" s="333"/>
      <c r="L58" s="333"/>
      <c r="M58" s="333"/>
      <c r="N58" s="333"/>
      <c r="O58" s="333"/>
      <c r="P58" s="333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25"/>
      <c r="BG58" s="115">
        <f t="shared" si="45"/>
        <v>2019</v>
      </c>
      <c r="BH58" s="115">
        <f t="shared" ca="1" si="43"/>
        <v>13</v>
      </c>
      <c r="BI58" s="115">
        <f t="shared" ref="BI58:BS58" ca="1" si="53">IF((BI41-BH41)&lt;=0,0,BI41-BH41)</f>
        <v>0</v>
      </c>
      <c r="BJ58" s="115">
        <f t="shared" ca="1" si="53"/>
        <v>0</v>
      </c>
      <c r="BK58" s="115">
        <f t="shared" ca="1" si="53"/>
        <v>0</v>
      </c>
      <c r="BL58" s="115">
        <f t="shared" ca="1" si="53"/>
        <v>0</v>
      </c>
      <c r="BM58" s="115">
        <f t="shared" ca="1" si="53"/>
        <v>0</v>
      </c>
      <c r="BN58" s="115">
        <f t="shared" ca="1" si="53"/>
        <v>0</v>
      </c>
      <c r="BO58" s="115">
        <f t="shared" ca="1" si="53"/>
        <v>0</v>
      </c>
      <c r="BP58" s="115">
        <f t="shared" ca="1" si="53"/>
        <v>0</v>
      </c>
      <c r="BQ58" s="115">
        <f t="shared" ca="1" si="53"/>
        <v>0</v>
      </c>
      <c r="BR58" s="115">
        <f t="shared" ca="1" si="53"/>
        <v>0</v>
      </c>
      <c r="BS58" s="115">
        <f t="shared" ca="1" si="53"/>
        <v>0</v>
      </c>
      <c r="BT58" s="108"/>
      <c r="BU58" s="108"/>
      <c r="BV58" s="108"/>
      <c r="BW58" s="108"/>
      <c r="BX58" s="108">
        <v>36</v>
      </c>
      <c r="BY58" s="120" t="s">
        <v>143</v>
      </c>
      <c r="BZ58" s="133">
        <f>Справочник!J2</f>
        <v>2018</v>
      </c>
      <c r="CA58" s="24">
        <f ca="1">INDIRECT("'"&amp;B2&amp;"'!D36")</f>
        <v>1886</v>
      </c>
      <c r="CB58" s="24">
        <f ca="1">INDIRECT("'"&amp;B2&amp;"'!E36")</f>
        <v>0</v>
      </c>
      <c r="CC58" s="24">
        <f ca="1">INDIRECT("'"&amp;B2&amp;"'!f36")</f>
        <v>0</v>
      </c>
      <c r="CD58" s="24">
        <f ca="1">INDIRECT("'"&amp;B2&amp;"'!G36")</f>
        <v>0</v>
      </c>
      <c r="CE58" s="24">
        <f ca="1">INDIRECT("'"&amp;B2&amp;"'!h36")</f>
        <v>0</v>
      </c>
      <c r="CF58" s="24">
        <f ca="1">INDIRECT("'"&amp;B2&amp;"'!I36")</f>
        <v>0</v>
      </c>
      <c r="CG58" s="24">
        <f ca="1">INDIRECT("'"&amp;B2&amp;"'!J36")</f>
        <v>0</v>
      </c>
      <c r="CH58" s="24">
        <f ca="1">INDIRECT("'"&amp;B2&amp;"'!K36")</f>
        <v>0</v>
      </c>
      <c r="CI58" s="24">
        <f ca="1">INDIRECT("'"&amp;B2&amp;"'!L36")</f>
        <v>0</v>
      </c>
      <c r="CJ58" s="24">
        <f ca="1">INDIRECT("'"&amp;B2&amp;"'!M36")</f>
        <v>0</v>
      </c>
      <c r="CK58" s="24">
        <f ca="1">INDIRECT("'"&amp;B2&amp;"'!N36")</f>
        <v>0</v>
      </c>
      <c r="CL58" s="24">
        <f ca="1">INDIRECT("'"&amp;B2&amp;"'!O36")</f>
        <v>0</v>
      </c>
      <c r="CM58" s="24"/>
      <c r="CN58" s="108"/>
      <c r="CO58" s="108"/>
      <c r="CP58" s="108"/>
      <c r="CQ58" s="108"/>
    </row>
    <row r="59" spans="1:105" ht="15.75"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25" t="s">
        <v>346</v>
      </c>
      <c r="BG59" s="115">
        <f t="shared" si="45"/>
        <v>2018</v>
      </c>
      <c r="BH59" s="115">
        <f t="shared" ca="1" si="43"/>
        <v>52</v>
      </c>
      <c r="BI59" s="115">
        <f t="shared" ref="BI59:BS59" ca="1" si="54">IF((BI42-BH42)&lt;=0,0,BI42-BH42)</f>
        <v>0</v>
      </c>
      <c r="BJ59" s="115">
        <f t="shared" ca="1" si="54"/>
        <v>0</v>
      </c>
      <c r="BK59" s="115">
        <f t="shared" ca="1" si="54"/>
        <v>0</v>
      </c>
      <c r="BL59" s="115">
        <f t="shared" ca="1" si="54"/>
        <v>0</v>
      </c>
      <c r="BM59" s="115">
        <f t="shared" ca="1" si="54"/>
        <v>0</v>
      </c>
      <c r="BN59" s="115">
        <f t="shared" ca="1" si="54"/>
        <v>0</v>
      </c>
      <c r="BO59" s="115">
        <f t="shared" ca="1" si="54"/>
        <v>0</v>
      </c>
      <c r="BP59" s="115">
        <f t="shared" ca="1" si="54"/>
        <v>0</v>
      </c>
      <c r="BQ59" s="115">
        <f t="shared" ca="1" si="54"/>
        <v>0</v>
      </c>
      <c r="BR59" s="115">
        <f t="shared" ca="1" si="54"/>
        <v>0</v>
      </c>
      <c r="BS59" s="115">
        <f t="shared" ca="1" si="54"/>
        <v>0</v>
      </c>
      <c r="BT59" s="108"/>
      <c r="BU59" s="108"/>
      <c r="BV59" s="108"/>
      <c r="BW59" s="108"/>
      <c r="BX59" s="108">
        <v>37</v>
      </c>
      <c r="BY59" s="135"/>
      <c r="BZ59" s="134">
        <f>Справочник!J1</f>
        <v>2019</v>
      </c>
      <c r="CA59" s="24">
        <f ca="1">INDIRECT("'"&amp;B2&amp;"'!D37")</f>
        <v>1790</v>
      </c>
      <c r="CB59" s="24">
        <f ca="1">INDIRECT("'"&amp;B2&amp;"'!E37")</f>
        <v>0</v>
      </c>
      <c r="CC59" s="24">
        <f ca="1">INDIRECT("'"&amp;B2&amp;"'!f37")</f>
        <v>0</v>
      </c>
      <c r="CD59" s="24">
        <f ca="1">INDIRECT("'"&amp;B2&amp;"'!G37")</f>
        <v>0</v>
      </c>
      <c r="CE59" s="24">
        <f ca="1">INDIRECT("'"&amp;B2&amp;"'!h37")</f>
        <v>0</v>
      </c>
      <c r="CF59" s="24">
        <f ca="1">INDIRECT("'"&amp;B2&amp;"'!I37")</f>
        <v>0</v>
      </c>
      <c r="CG59" s="24">
        <f ca="1">INDIRECT("'"&amp;B2&amp;"'!J37")</f>
        <v>0</v>
      </c>
      <c r="CH59" s="24">
        <f ca="1">INDIRECT("'"&amp;B2&amp;"'!K37")</f>
        <v>0</v>
      </c>
      <c r="CI59" s="24">
        <f ca="1">INDIRECT("'"&amp;B2&amp;"'!L37")</f>
        <v>0</v>
      </c>
      <c r="CJ59" s="24">
        <f ca="1">INDIRECT("'"&amp;B2&amp;"'!M37")</f>
        <v>0</v>
      </c>
      <c r="CK59" s="24">
        <f ca="1">INDIRECT("'"&amp;B2&amp;"'!N37")</f>
        <v>0</v>
      </c>
      <c r="CL59" s="24">
        <f ca="1">INDIRECT("'"&amp;B2&amp;"'!O37")</f>
        <v>0</v>
      </c>
      <c r="CM59" s="24"/>
      <c r="CN59" s="108"/>
      <c r="CO59" s="108"/>
      <c r="CP59" s="108"/>
      <c r="CQ59" s="108"/>
    </row>
    <row r="60" spans="1:105" ht="15.75"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25"/>
      <c r="BG60" s="115">
        <f t="shared" si="45"/>
        <v>2019</v>
      </c>
      <c r="BH60" s="115">
        <f t="shared" ca="1" si="43"/>
        <v>47</v>
      </c>
      <c r="BI60" s="115">
        <f t="shared" ref="BI60:BS60" ca="1" si="55">IF((BI43-BH43)&lt;=0,0,BI43-BH43)</f>
        <v>0</v>
      </c>
      <c r="BJ60" s="115">
        <f t="shared" ca="1" si="55"/>
        <v>0</v>
      </c>
      <c r="BK60" s="115">
        <f t="shared" ca="1" si="55"/>
        <v>0</v>
      </c>
      <c r="BL60" s="115">
        <f t="shared" ca="1" si="55"/>
        <v>0</v>
      </c>
      <c r="BM60" s="115">
        <f t="shared" ca="1" si="55"/>
        <v>0</v>
      </c>
      <c r="BN60" s="115">
        <f t="shared" ca="1" si="55"/>
        <v>0</v>
      </c>
      <c r="BO60" s="115">
        <f t="shared" ca="1" si="55"/>
        <v>0</v>
      </c>
      <c r="BP60" s="115">
        <f t="shared" ca="1" si="55"/>
        <v>0</v>
      </c>
      <c r="BQ60" s="115">
        <f t="shared" ca="1" si="55"/>
        <v>0</v>
      </c>
      <c r="BR60" s="115">
        <f t="shared" ca="1" si="55"/>
        <v>0</v>
      </c>
      <c r="BS60" s="115">
        <f t="shared" ca="1" si="55"/>
        <v>0</v>
      </c>
      <c r="BT60" s="108"/>
      <c r="BU60" s="108"/>
      <c r="BV60" s="108"/>
      <c r="BW60" s="108"/>
      <c r="BX60" s="108">
        <v>38</v>
      </c>
      <c r="BY60" s="132" t="s">
        <v>144</v>
      </c>
      <c r="BZ60" s="133">
        <f>Справочник!J2</f>
        <v>2018</v>
      </c>
      <c r="CA60" s="24">
        <f ca="1">INDIRECT("'"&amp;B2&amp;"'!D38")</f>
        <v>81</v>
      </c>
      <c r="CB60" s="24">
        <f ca="1">INDIRECT("'"&amp;B2&amp;"'!E38")</f>
        <v>0</v>
      </c>
      <c r="CC60" s="24">
        <f ca="1">INDIRECT("'"&amp;B2&amp;"'!f38")</f>
        <v>0</v>
      </c>
      <c r="CD60" s="24">
        <f ca="1">INDIRECT("'"&amp;B2&amp;"'!G38")</f>
        <v>0</v>
      </c>
      <c r="CE60" s="24">
        <f ca="1">INDIRECT("'"&amp;B2&amp;"'!h38")</f>
        <v>0</v>
      </c>
      <c r="CF60" s="24">
        <f ca="1">INDIRECT("'"&amp;B2&amp;"'!I38")</f>
        <v>0</v>
      </c>
      <c r="CG60" s="24">
        <f ca="1">INDIRECT("'"&amp;B2&amp;"'!J38")</f>
        <v>0</v>
      </c>
      <c r="CH60" s="24">
        <f ca="1">INDIRECT("'"&amp;B2&amp;"'!K38")</f>
        <v>0</v>
      </c>
      <c r="CI60" s="24">
        <f ca="1">INDIRECT("'"&amp;B2&amp;"'!L38")</f>
        <v>0</v>
      </c>
      <c r="CJ60" s="24">
        <f ca="1">INDIRECT("'"&amp;B2&amp;"'!M38")</f>
        <v>0</v>
      </c>
      <c r="CK60" s="24">
        <f ca="1">INDIRECT("'"&amp;B2&amp;"'!N38")</f>
        <v>0</v>
      </c>
      <c r="CL60" s="24">
        <f ca="1">INDIRECT("'"&amp;B2&amp;"'!O38")</f>
        <v>0</v>
      </c>
      <c r="CM60" s="24"/>
      <c r="CN60" s="108"/>
      <c r="CO60" s="108"/>
      <c r="CP60" s="108"/>
      <c r="CQ60" s="108"/>
    </row>
    <row r="61" spans="1:105" ht="15.75"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25" t="s">
        <v>345</v>
      </c>
      <c r="BG61" s="115">
        <f t="shared" si="45"/>
        <v>2018</v>
      </c>
      <c r="BH61" s="115">
        <f t="shared" ca="1" si="43"/>
        <v>521</v>
      </c>
      <c r="BI61" s="115">
        <f t="shared" ref="BI61:BS61" ca="1" si="56">IF((BI44-BH44)&lt;=0,0,BI44-BH44)</f>
        <v>0</v>
      </c>
      <c r="BJ61" s="115">
        <f t="shared" ca="1" si="56"/>
        <v>0</v>
      </c>
      <c r="BK61" s="115">
        <f t="shared" ca="1" si="56"/>
        <v>0</v>
      </c>
      <c r="BL61" s="115">
        <f t="shared" ca="1" si="56"/>
        <v>0</v>
      </c>
      <c r="BM61" s="115">
        <f t="shared" ca="1" si="56"/>
        <v>0</v>
      </c>
      <c r="BN61" s="115">
        <f t="shared" ca="1" si="56"/>
        <v>0</v>
      </c>
      <c r="BO61" s="115">
        <f t="shared" ca="1" si="56"/>
        <v>0</v>
      </c>
      <c r="BP61" s="115">
        <f t="shared" ca="1" si="56"/>
        <v>0</v>
      </c>
      <c r="BQ61" s="115">
        <f t="shared" ca="1" si="56"/>
        <v>0</v>
      </c>
      <c r="BR61" s="115">
        <f t="shared" ca="1" si="56"/>
        <v>0</v>
      </c>
      <c r="BS61" s="115">
        <f t="shared" ca="1" si="56"/>
        <v>0</v>
      </c>
      <c r="BT61" s="108"/>
      <c r="BU61" s="108"/>
      <c r="BV61" s="108"/>
      <c r="BW61" s="108"/>
      <c r="BX61" s="108">
        <v>39</v>
      </c>
      <c r="BY61" s="135"/>
      <c r="BZ61" s="134">
        <f>Справочник!J1</f>
        <v>2019</v>
      </c>
      <c r="CA61" s="24">
        <f ca="1">INDIRECT("'"&amp;B2&amp;"'!D39")</f>
        <v>84</v>
      </c>
      <c r="CB61" s="24">
        <f ca="1">INDIRECT("'"&amp;B2&amp;"'!E39")</f>
        <v>0</v>
      </c>
      <c r="CC61" s="24">
        <f ca="1">INDIRECT("'"&amp;B2&amp;"'!f39")</f>
        <v>0</v>
      </c>
      <c r="CD61" s="24">
        <f ca="1">INDIRECT("'"&amp;B2&amp;"'!G39")</f>
        <v>0</v>
      </c>
      <c r="CE61" s="24">
        <f ca="1">INDIRECT("'"&amp;B2&amp;"'!h39")</f>
        <v>0</v>
      </c>
      <c r="CF61" s="24">
        <f ca="1">INDIRECT("'"&amp;B2&amp;"'!I39")</f>
        <v>0</v>
      </c>
      <c r="CG61" s="24">
        <f ca="1">INDIRECT("'"&amp;B2&amp;"'!J39")</f>
        <v>0</v>
      </c>
      <c r="CH61" s="24">
        <f ca="1">INDIRECT("'"&amp;B2&amp;"'!K39")</f>
        <v>0</v>
      </c>
      <c r="CI61" s="24">
        <f ca="1">INDIRECT("'"&amp;B2&amp;"'!L39")</f>
        <v>0</v>
      </c>
      <c r="CJ61" s="24">
        <f ca="1">INDIRECT("'"&amp;B2&amp;"'!M39")</f>
        <v>0</v>
      </c>
      <c r="CK61" s="24">
        <f ca="1">INDIRECT("'"&amp;B2&amp;"'!N39")</f>
        <v>0</v>
      </c>
      <c r="CL61" s="24">
        <f ca="1">INDIRECT("'"&amp;B2&amp;"'!O39")</f>
        <v>0</v>
      </c>
      <c r="CM61" s="24"/>
      <c r="CN61" s="108"/>
      <c r="CO61" s="108"/>
      <c r="CP61" s="108"/>
      <c r="CQ61" s="108"/>
    </row>
    <row r="62" spans="1:105" ht="15.75"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25"/>
      <c r="BG62" s="115">
        <f t="shared" si="45"/>
        <v>2019</v>
      </c>
      <c r="BH62" s="115">
        <f t="shared" ca="1" si="43"/>
        <v>570</v>
      </c>
      <c r="BI62" s="115">
        <f t="shared" ref="BI62:BS62" ca="1" si="57">IF((BI45-BH45)&lt;=0,0,BI45-BH45)</f>
        <v>0</v>
      </c>
      <c r="BJ62" s="115">
        <f t="shared" ca="1" si="57"/>
        <v>0</v>
      </c>
      <c r="BK62" s="115">
        <f t="shared" ca="1" si="57"/>
        <v>0</v>
      </c>
      <c r="BL62" s="115">
        <f t="shared" ca="1" si="57"/>
        <v>0</v>
      </c>
      <c r="BM62" s="115">
        <f t="shared" ca="1" si="57"/>
        <v>0</v>
      </c>
      <c r="BN62" s="115">
        <f t="shared" ca="1" si="57"/>
        <v>0</v>
      </c>
      <c r="BO62" s="115">
        <f t="shared" ca="1" si="57"/>
        <v>0</v>
      </c>
      <c r="BP62" s="115">
        <f t="shared" ca="1" si="57"/>
        <v>0</v>
      </c>
      <c r="BQ62" s="115">
        <f t="shared" ca="1" si="57"/>
        <v>0</v>
      </c>
      <c r="BR62" s="115">
        <f t="shared" ca="1" si="57"/>
        <v>0</v>
      </c>
      <c r="BS62" s="115">
        <f t="shared" ca="1" si="57"/>
        <v>0</v>
      </c>
      <c r="BT62" s="108"/>
      <c r="BU62" s="108"/>
      <c r="BV62" s="108"/>
      <c r="BW62" s="108"/>
      <c r="BX62" s="108">
        <v>40</v>
      </c>
      <c r="BY62" s="132" t="s">
        <v>145</v>
      </c>
      <c r="BZ62" s="133">
        <f>Справочник!J2</f>
        <v>2018</v>
      </c>
      <c r="CA62" s="24">
        <f ca="1">INDIRECT("'"&amp;B2&amp;"'!D40")</f>
        <v>781</v>
      </c>
      <c r="CB62" s="24">
        <f ca="1">INDIRECT("'"&amp;B2&amp;"'!E40")</f>
        <v>0</v>
      </c>
      <c r="CC62" s="24">
        <f ca="1">INDIRECT("'"&amp;B2&amp;"'!f40")</f>
        <v>0</v>
      </c>
      <c r="CD62" s="24">
        <f ca="1">INDIRECT("'"&amp;B2&amp;"'!G40")</f>
        <v>0</v>
      </c>
      <c r="CE62" s="24">
        <f ca="1">INDIRECT("'"&amp;B2&amp;"'!h40")</f>
        <v>0</v>
      </c>
      <c r="CF62" s="24">
        <f ca="1">INDIRECT("'"&amp;B2&amp;"'!I40")</f>
        <v>0</v>
      </c>
      <c r="CG62" s="24">
        <f ca="1">INDIRECT("'"&amp;B2&amp;"'!J40")</f>
        <v>0</v>
      </c>
      <c r="CH62" s="24">
        <f ca="1">INDIRECT("'"&amp;B2&amp;"'!K40")</f>
        <v>0</v>
      </c>
      <c r="CI62" s="24">
        <f ca="1">INDIRECT("'"&amp;B2&amp;"'!L40")</f>
        <v>0</v>
      </c>
      <c r="CJ62" s="24">
        <f ca="1">INDIRECT("'"&amp;B2&amp;"'!M40")</f>
        <v>0</v>
      </c>
      <c r="CK62" s="24">
        <f ca="1">INDIRECT("'"&amp;B2&amp;"'!N40")</f>
        <v>0</v>
      </c>
      <c r="CL62" s="24">
        <f ca="1">INDIRECT("'"&amp;B2&amp;"'!O40")</f>
        <v>0</v>
      </c>
      <c r="CM62" s="24"/>
      <c r="CN62" s="108"/>
      <c r="CO62" s="108"/>
      <c r="CP62" s="108"/>
      <c r="CQ62" s="108"/>
    </row>
    <row r="63" spans="1:105" ht="15.75"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25" t="s">
        <v>342</v>
      </c>
      <c r="BG63" s="115">
        <f t="shared" si="45"/>
        <v>2018</v>
      </c>
      <c r="BH63" s="115">
        <f t="shared" ca="1" si="43"/>
        <v>72</v>
      </c>
      <c r="BI63" s="115">
        <f t="shared" ref="BI63:BS63" ca="1" si="58">IF((BI46-BH46)&lt;=0,0,BI46-BH46)</f>
        <v>0</v>
      </c>
      <c r="BJ63" s="115">
        <f t="shared" ca="1" si="58"/>
        <v>0</v>
      </c>
      <c r="BK63" s="115">
        <f t="shared" ca="1" si="58"/>
        <v>0</v>
      </c>
      <c r="BL63" s="115">
        <f t="shared" ca="1" si="58"/>
        <v>0</v>
      </c>
      <c r="BM63" s="115">
        <f t="shared" ca="1" si="58"/>
        <v>0</v>
      </c>
      <c r="BN63" s="115">
        <f t="shared" ca="1" si="58"/>
        <v>0</v>
      </c>
      <c r="BO63" s="115">
        <f t="shared" ca="1" si="58"/>
        <v>0</v>
      </c>
      <c r="BP63" s="115">
        <f t="shared" ca="1" si="58"/>
        <v>0</v>
      </c>
      <c r="BQ63" s="115">
        <f t="shared" ca="1" si="58"/>
        <v>0</v>
      </c>
      <c r="BR63" s="115">
        <f t="shared" ca="1" si="58"/>
        <v>0</v>
      </c>
      <c r="BS63" s="115">
        <f t="shared" ca="1" si="58"/>
        <v>0</v>
      </c>
      <c r="BT63" s="108"/>
      <c r="BU63" s="108"/>
      <c r="BV63" s="108"/>
      <c r="BW63" s="108"/>
      <c r="BX63" s="108">
        <v>41</v>
      </c>
      <c r="BY63" s="135"/>
      <c r="BZ63" s="134">
        <f>Справочник!J1</f>
        <v>2019</v>
      </c>
      <c r="CA63" s="24">
        <f ca="1">INDIRECT("'"&amp;B2&amp;"'!D41")</f>
        <v>647</v>
      </c>
      <c r="CB63" s="24">
        <f ca="1">INDIRECT("'"&amp;B2&amp;"'!E41")</f>
        <v>0</v>
      </c>
      <c r="CC63" s="24">
        <f ca="1">INDIRECT("'"&amp;B2&amp;"'!f41")</f>
        <v>0</v>
      </c>
      <c r="CD63" s="24">
        <f ca="1">INDIRECT("'"&amp;B2&amp;"'!G41")</f>
        <v>0</v>
      </c>
      <c r="CE63" s="24">
        <f ca="1">INDIRECT("'"&amp;B2&amp;"'!h41")</f>
        <v>0</v>
      </c>
      <c r="CF63" s="24">
        <f ca="1">INDIRECT("'"&amp;B2&amp;"'!I41")</f>
        <v>0</v>
      </c>
      <c r="CG63" s="24">
        <f ca="1">INDIRECT("'"&amp;B2&amp;"'!J41")</f>
        <v>0</v>
      </c>
      <c r="CH63" s="24">
        <f ca="1">INDIRECT("'"&amp;B2&amp;"'!K41")</f>
        <v>0</v>
      </c>
      <c r="CI63" s="24">
        <f ca="1">INDIRECT("'"&amp;B2&amp;"'!L41")</f>
        <v>0</v>
      </c>
      <c r="CJ63" s="24">
        <f ca="1">INDIRECT("'"&amp;B2&amp;"'!M41")</f>
        <v>0</v>
      </c>
      <c r="CK63" s="24">
        <f ca="1">INDIRECT("'"&amp;B2&amp;"'!N41")</f>
        <v>0</v>
      </c>
      <c r="CL63" s="24">
        <f ca="1">INDIRECT("'"&amp;B2&amp;"'!O41")</f>
        <v>0</v>
      </c>
      <c r="CM63" s="24"/>
      <c r="CN63" s="108"/>
      <c r="CO63" s="108"/>
      <c r="CP63" s="108"/>
      <c r="CQ63" s="108"/>
    </row>
    <row r="64" spans="1:105" ht="15.75"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25"/>
      <c r="BG64" s="115">
        <f t="shared" si="45"/>
        <v>2019</v>
      </c>
      <c r="BH64" s="115">
        <f t="shared" ca="1" si="43"/>
        <v>67</v>
      </c>
      <c r="BI64" s="115">
        <f t="shared" ref="BI64:BS64" ca="1" si="59">IF((BI47-BH47)&lt;=0,0,BI47-BH47)</f>
        <v>0</v>
      </c>
      <c r="BJ64" s="115">
        <f t="shared" ca="1" si="59"/>
        <v>0</v>
      </c>
      <c r="BK64" s="115">
        <f t="shared" ca="1" si="59"/>
        <v>0</v>
      </c>
      <c r="BL64" s="115">
        <f t="shared" ca="1" si="59"/>
        <v>0</v>
      </c>
      <c r="BM64" s="115">
        <f t="shared" ca="1" si="59"/>
        <v>0</v>
      </c>
      <c r="BN64" s="115">
        <f t="shared" ca="1" si="59"/>
        <v>0</v>
      </c>
      <c r="BO64" s="115">
        <f t="shared" ca="1" si="59"/>
        <v>0</v>
      </c>
      <c r="BP64" s="115">
        <f t="shared" ca="1" si="59"/>
        <v>0</v>
      </c>
      <c r="BQ64" s="115">
        <f t="shared" ca="1" si="59"/>
        <v>0</v>
      </c>
      <c r="BR64" s="115">
        <f t="shared" ca="1" si="59"/>
        <v>0</v>
      </c>
      <c r="BS64" s="115">
        <f t="shared" ca="1" si="59"/>
        <v>0</v>
      </c>
      <c r="BT64" s="108"/>
      <c r="BU64" s="108"/>
      <c r="BV64" s="108"/>
      <c r="BW64" s="108"/>
      <c r="BX64" s="108">
        <v>42</v>
      </c>
      <c r="BY64" s="132" t="s">
        <v>146</v>
      </c>
      <c r="BZ64" s="133">
        <f>Справочник!J2</f>
        <v>2018</v>
      </c>
      <c r="CA64" s="24">
        <f ca="1">INDIRECT("'"&amp;B2&amp;"'!D42")</f>
        <v>1172</v>
      </c>
      <c r="CB64" s="24">
        <f ca="1">INDIRECT("'"&amp;B2&amp;"'!E42")</f>
        <v>0</v>
      </c>
      <c r="CC64" s="24">
        <f ca="1">INDIRECT("'"&amp;B2&amp;"'!f42")</f>
        <v>0</v>
      </c>
      <c r="CD64" s="24">
        <f ca="1">INDIRECT("'"&amp;B2&amp;"'!G42")</f>
        <v>0</v>
      </c>
      <c r="CE64" s="24">
        <f ca="1">INDIRECT("'"&amp;B2&amp;"'!h42")</f>
        <v>0</v>
      </c>
      <c r="CF64" s="24">
        <f ca="1">INDIRECT("'"&amp;B2&amp;"'!I42")</f>
        <v>0</v>
      </c>
      <c r="CG64" s="24">
        <f ca="1">INDIRECT("'"&amp;B2&amp;"'!J42")</f>
        <v>0</v>
      </c>
      <c r="CH64" s="24">
        <f ca="1">INDIRECT("'"&amp;B2&amp;"'!K42")</f>
        <v>0</v>
      </c>
      <c r="CI64" s="24">
        <f ca="1">INDIRECT("'"&amp;B2&amp;"'!L42")</f>
        <v>0</v>
      </c>
      <c r="CJ64" s="24">
        <f ca="1">INDIRECT("'"&amp;B2&amp;"'!M42")</f>
        <v>0</v>
      </c>
      <c r="CK64" s="24">
        <f ca="1">INDIRECT("'"&amp;B2&amp;"'!N42")</f>
        <v>0</v>
      </c>
      <c r="CL64" s="24">
        <f ca="1">INDIRECT("'"&amp;B2&amp;"'!O42")</f>
        <v>0</v>
      </c>
      <c r="CM64" s="24"/>
      <c r="CN64" s="108"/>
      <c r="CO64" s="108"/>
      <c r="CP64" s="108"/>
      <c r="CQ64" s="108"/>
    </row>
    <row r="65" spans="1:104" ht="15.75"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 t="s">
        <v>366</v>
      </c>
      <c r="BG65" s="115">
        <f t="shared" si="45"/>
        <v>2018</v>
      </c>
      <c r="BH65" s="108">
        <f ca="1">CA80</f>
        <v>80</v>
      </c>
      <c r="BI65" s="108">
        <f ca="1">IF((CB80-CA80)&lt;=0,0,CB80-CA80)</f>
        <v>0</v>
      </c>
      <c r="BJ65" s="108">
        <f t="shared" ref="BJ65:BS65" ca="1" si="60">IF((CC80-CB80)&lt;=0,0,CC80-CB80)</f>
        <v>0</v>
      </c>
      <c r="BK65" s="108">
        <f t="shared" ca="1" si="60"/>
        <v>0</v>
      </c>
      <c r="BL65" s="108">
        <f t="shared" ca="1" si="60"/>
        <v>0</v>
      </c>
      <c r="BM65" s="108">
        <f t="shared" ca="1" si="60"/>
        <v>0</v>
      </c>
      <c r="BN65" s="108">
        <f t="shared" ca="1" si="60"/>
        <v>0</v>
      </c>
      <c r="BO65" s="108">
        <f t="shared" ca="1" si="60"/>
        <v>0</v>
      </c>
      <c r="BP65" s="108">
        <f t="shared" ca="1" si="60"/>
        <v>0</v>
      </c>
      <c r="BQ65" s="108">
        <f t="shared" ca="1" si="60"/>
        <v>0</v>
      </c>
      <c r="BR65" s="108">
        <f t="shared" ca="1" si="60"/>
        <v>0</v>
      </c>
      <c r="BS65" s="108">
        <f t="shared" ca="1" si="60"/>
        <v>0</v>
      </c>
      <c r="BT65" s="108"/>
      <c r="BU65" s="108"/>
      <c r="BV65" s="108"/>
      <c r="BW65" s="108"/>
      <c r="BX65" s="108">
        <v>43</v>
      </c>
      <c r="BY65" s="135"/>
      <c r="BZ65" s="134">
        <f>Справочник!J1</f>
        <v>2019</v>
      </c>
      <c r="CA65" s="24">
        <f ca="1">INDIRECT("'"&amp;B2&amp;"'!D43")</f>
        <v>1159</v>
      </c>
      <c r="CB65" s="24">
        <f ca="1">INDIRECT("'"&amp;B2&amp;"'!E43")</f>
        <v>0</v>
      </c>
      <c r="CC65" s="24">
        <f ca="1">INDIRECT("'"&amp;B2&amp;"'!f43")</f>
        <v>0</v>
      </c>
      <c r="CD65" s="24">
        <f ca="1">INDIRECT("'"&amp;B2&amp;"'!G43")</f>
        <v>0</v>
      </c>
      <c r="CE65" s="24">
        <f ca="1">INDIRECT("'"&amp;B2&amp;"'!h43")</f>
        <v>0</v>
      </c>
      <c r="CF65" s="24">
        <f ca="1">INDIRECT("'"&amp;B2&amp;"'!I43")</f>
        <v>0</v>
      </c>
      <c r="CG65" s="24">
        <f ca="1">INDIRECT("'"&amp;B2&amp;"'!J43")</f>
        <v>0</v>
      </c>
      <c r="CH65" s="24">
        <f ca="1">INDIRECT("'"&amp;B2&amp;"'!K43")</f>
        <v>0</v>
      </c>
      <c r="CI65" s="24">
        <f ca="1">INDIRECT("'"&amp;B2&amp;"'!L43")</f>
        <v>0</v>
      </c>
      <c r="CJ65" s="24">
        <f ca="1">INDIRECT("'"&amp;B2&amp;"'!M43")</f>
        <v>0</v>
      </c>
      <c r="CK65" s="24">
        <f ca="1">INDIRECT("'"&amp;B2&amp;"'!N43")</f>
        <v>0</v>
      </c>
      <c r="CL65" s="24">
        <f ca="1">INDIRECT("'"&amp;B2&amp;"'!O43")</f>
        <v>0</v>
      </c>
      <c r="CM65" s="24"/>
      <c r="CN65" s="108"/>
      <c r="CO65" s="108"/>
      <c r="CP65" s="108"/>
      <c r="CQ65" s="108"/>
    </row>
    <row r="66" spans="1:104" ht="15.75"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15">
        <f t="shared" si="45"/>
        <v>2019</v>
      </c>
      <c r="BH66" s="108">
        <f ca="1">CA81</f>
        <v>48</v>
      </c>
      <c r="BI66" s="108">
        <f ca="1">IF((CB81-CA81)&lt;=0,0,CB81-CA81)</f>
        <v>0</v>
      </c>
      <c r="BJ66" s="108">
        <f t="shared" ref="BJ66:BS66" ca="1" si="61">IF((CC81-CB81)&lt;=0,0,CC81-CB81)</f>
        <v>0</v>
      </c>
      <c r="BK66" s="108">
        <f t="shared" ca="1" si="61"/>
        <v>0</v>
      </c>
      <c r="BL66" s="108">
        <f t="shared" ca="1" si="61"/>
        <v>0</v>
      </c>
      <c r="BM66" s="108">
        <f t="shared" ca="1" si="61"/>
        <v>0</v>
      </c>
      <c r="BN66" s="108">
        <f t="shared" ca="1" si="61"/>
        <v>0</v>
      </c>
      <c r="BO66" s="108">
        <f t="shared" ca="1" si="61"/>
        <v>0</v>
      </c>
      <c r="BP66" s="108">
        <f t="shared" ca="1" si="61"/>
        <v>0</v>
      </c>
      <c r="BQ66" s="108">
        <f t="shared" ca="1" si="61"/>
        <v>0</v>
      </c>
      <c r="BR66" s="108">
        <f t="shared" ca="1" si="61"/>
        <v>0</v>
      </c>
      <c r="BS66" s="108">
        <f t="shared" ca="1" si="61"/>
        <v>0</v>
      </c>
      <c r="BT66" s="108"/>
      <c r="BU66" s="108"/>
      <c r="BV66" s="108"/>
      <c r="BW66" s="108"/>
      <c r="BX66" s="108">
        <v>44</v>
      </c>
      <c r="BY66" s="132" t="s">
        <v>147</v>
      </c>
      <c r="BZ66" s="133">
        <f>Справочник!J2</f>
        <v>2018</v>
      </c>
      <c r="CA66" s="24">
        <f ca="1">INDIRECT("'"&amp;B2&amp;"'!D44")</f>
        <v>181</v>
      </c>
      <c r="CB66" s="24">
        <f ca="1">INDIRECT("'"&amp;B2&amp;"'!E44")</f>
        <v>0</v>
      </c>
      <c r="CC66" s="24">
        <f ca="1">INDIRECT("'"&amp;B2&amp;"'!f44")</f>
        <v>0</v>
      </c>
      <c r="CD66" s="24">
        <f ca="1">INDIRECT("'"&amp;B2&amp;"'!G44")</f>
        <v>0</v>
      </c>
      <c r="CE66" s="24">
        <f ca="1">INDIRECT("'"&amp;B2&amp;"'!h44")</f>
        <v>0</v>
      </c>
      <c r="CF66" s="24">
        <f ca="1">INDIRECT("'"&amp;B2&amp;"'!I44")</f>
        <v>0</v>
      </c>
      <c r="CG66" s="24">
        <f ca="1">INDIRECT("'"&amp;B2&amp;"'!J44")</f>
        <v>0</v>
      </c>
      <c r="CH66" s="24">
        <f ca="1">INDIRECT("'"&amp;B2&amp;"'!K44")</f>
        <v>0</v>
      </c>
      <c r="CI66" s="24">
        <f ca="1">INDIRECT("'"&amp;B2&amp;"'!L44")</f>
        <v>0</v>
      </c>
      <c r="CJ66" s="24">
        <f ca="1">INDIRECT("'"&amp;B2&amp;"'!M44")</f>
        <v>0</v>
      </c>
      <c r="CK66" s="24">
        <f ca="1">INDIRECT("'"&amp;B2&amp;"'!N44")</f>
        <v>0</v>
      </c>
      <c r="CL66" s="24">
        <f ca="1">INDIRECT("'"&amp;B2&amp;"'!O44")</f>
        <v>0</v>
      </c>
      <c r="CM66" s="24"/>
      <c r="CN66" s="108"/>
      <c r="CO66" s="108"/>
      <c r="CP66" s="108"/>
      <c r="CQ66" s="108"/>
    </row>
    <row r="67" spans="1:104" ht="15.75"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>
        <v>45</v>
      </c>
      <c r="BY67" s="135"/>
      <c r="BZ67" s="134">
        <f>Справочник!J1</f>
        <v>2019</v>
      </c>
      <c r="CA67" s="24">
        <f ca="1">INDIRECT("'"&amp;B2&amp;"'!D45")</f>
        <v>137</v>
      </c>
      <c r="CB67" s="24">
        <f ca="1">INDIRECT("'"&amp;B2&amp;"'!E45")</f>
        <v>0</v>
      </c>
      <c r="CC67" s="24">
        <f ca="1">INDIRECT("'"&amp;B2&amp;"'!f45")</f>
        <v>0</v>
      </c>
      <c r="CD67" s="24">
        <f ca="1">INDIRECT("'"&amp;B2&amp;"'!G45")</f>
        <v>0</v>
      </c>
      <c r="CE67" s="24">
        <f ca="1">INDIRECT("'"&amp;B2&amp;"'!h45")</f>
        <v>0</v>
      </c>
      <c r="CF67" s="24">
        <f ca="1">INDIRECT("'"&amp;B2&amp;"'!I45")</f>
        <v>0</v>
      </c>
      <c r="CG67" s="24">
        <f ca="1">INDIRECT("'"&amp;B2&amp;"'!J45")</f>
        <v>0</v>
      </c>
      <c r="CH67" s="24">
        <f ca="1">INDIRECT("'"&amp;B2&amp;"'!K45")</f>
        <v>0</v>
      </c>
      <c r="CI67" s="24">
        <f ca="1">INDIRECT("'"&amp;B2&amp;"'!L45")</f>
        <v>0</v>
      </c>
      <c r="CJ67" s="24">
        <f ca="1">INDIRECT("'"&amp;B2&amp;"'!M45")</f>
        <v>0</v>
      </c>
      <c r="CK67" s="24">
        <f ca="1">INDIRECT("'"&amp;B2&amp;"'!N45")</f>
        <v>0</v>
      </c>
      <c r="CL67" s="24">
        <f ca="1">INDIRECT("'"&amp;B2&amp;"'!O45")</f>
        <v>0</v>
      </c>
      <c r="CM67" s="24"/>
      <c r="CN67" s="108"/>
      <c r="CO67" s="108"/>
      <c r="CP67" s="108"/>
      <c r="CQ67" s="108"/>
    </row>
    <row r="68" spans="1:104" ht="15.75"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>
        <v>46</v>
      </c>
      <c r="BY68" s="132" t="s">
        <v>148</v>
      </c>
      <c r="BZ68" s="133">
        <f>Справочник!J2</f>
        <v>2018</v>
      </c>
      <c r="CA68" s="24">
        <f ca="1">INDIRECT("'"&amp;B2&amp;"'!D46")</f>
        <v>81</v>
      </c>
      <c r="CB68" s="24">
        <f ca="1">INDIRECT("'"&amp;B2&amp;"'!E46")</f>
        <v>0</v>
      </c>
      <c r="CC68" s="24">
        <f ca="1">INDIRECT("'"&amp;B2&amp;"'!f46")</f>
        <v>0</v>
      </c>
      <c r="CD68" s="24">
        <f ca="1">INDIRECT("'"&amp;B2&amp;"'!G46")</f>
        <v>0</v>
      </c>
      <c r="CE68" s="24">
        <f ca="1">INDIRECT("'"&amp;B2&amp;"'!h46")</f>
        <v>0</v>
      </c>
      <c r="CF68" s="24">
        <f ca="1">INDIRECT("'"&amp;B2&amp;"'!I46")</f>
        <v>0</v>
      </c>
      <c r="CG68" s="24">
        <f ca="1">INDIRECT("'"&amp;B2&amp;"'!J46")</f>
        <v>0</v>
      </c>
      <c r="CH68" s="24">
        <f ca="1">INDIRECT("'"&amp;B2&amp;"'!K46")</f>
        <v>0</v>
      </c>
      <c r="CI68" s="24">
        <f ca="1">INDIRECT("'"&amp;B2&amp;"'!L46")</f>
        <v>0</v>
      </c>
      <c r="CJ68" s="24">
        <f ca="1">INDIRECT("'"&amp;B2&amp;"'!M46")</f>
        <v>0</v>
      </c>
      <c r="CK68" s="24">
        <f ca="1">INDIRECT("'"&amp;B2&amp;"'!N46")</f>
        <v>0</v>
      </c>
      <c r="CL68" s="24">
        <f ca="1">INDIRECT("'"&amp;B2&amp;"'!O46")</f>
        <v>0</v>
      </c>
      <c r="CM68" s="24"/>
      <c r="CN68" s="108"/>
      <c r="CO68" s="108"/>
      <c r="CP68" s="108"/>
      <c r="CQ68" s="108"/>
    </row>
    <row r="69" spans="1:104" ht="15.75"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>
        <v>47</v>
      </c>
      <c r="BY69" s="135"/>
      <c r="BZ69" s="134">
        <f>Справочник!J1</f>
        <v>2019</v>
      </c>
      <c r="CA69" s="24">
        <f ca="1">INDIRECT("'"&amp;B2&amp;"'!D47")</f>
        <v>11</v>
      </c>
      <c r="CB69" s="24">
        <f ca="1">INDIRECT("'"&amp;B2&amp;"'!E47")</f>
        <v>0</v>
      </c>
      <c r="CC69" s="24">
        <f ca="1">INDIRECT("'"&amp;B2&amp;"'!f47")</f>
        <v>0</v>
      </c>
      <c r="CD69" s="24">
        <f ca="1">INDIRECT("'"&amp;B2&amp;"'!G47")</f>
        <v>0</v>
      </c>
      <c r="CE69" s="24">
        <f ca="1">INDIRECT("'"&amp;B2&amp;"'!h47")</f>
        <v>0</v>
      </c>
      <c r="CF69" s="24">
        <f ca="1">INDIRECT("'"&amp;B2&amp;"'!I47")</f>
        <v>0</v>
      </c>
      <c r="CG69" s="24">
        <f ca="1">INDIRECT("'"&amp;B2&amp;"'!J47")</f>
        <v>0</v>
      </c>
      <c r="CH69" s="24">
        <f ca="1">INDIRECT("'"&amp;B2&amp;"'!K47")</f>
        <v>0</v>
      </c>
      <c r="CI69" s="24">
        <f ca="1">INDIRECT("'"&amp;B2&amp;"'!L47")</f>
        <v>0</v>
      </c>
      <c r="CJ69" s="24">
        <f ca="1">INDIRECT("'"&amp;B2&amp;"'!M47")</f>
        <v>0</v>
      </c>
      <c r="CK69" s="24">
        <f ca="1">INDIRECT("'"&amp;B2&amp;"'!N47")</f>
        <v>0</v>
      </c>
      <c r="CL69" s="24">
        <f ca="1">INDIRECT("'"&amp;B2&amp;"'!O47")</f>
        <v>0</v>
      </c>
      <c r="CM69" s="24"/>
      <c r="CN69" s="108"/>
      <c r="CO69" s="108"/>
      <c r="CP69" s="108"/>
      <c r="CQ69" s="108"/>
    </row>
    <row r="70" spans="1:104" ht="15.75">
      <c r="A70" s="1" t="s">
        <v>524</v>
      </c>
      <c r="B70" s="1"/>
      <c r="C70" s="1"/>
      <c r="D70" s="1"/>
      <c r="E70" s="189">
        <f>Справочник!J1</f>
        <v>2019</v>
      </c>
      <c r="F70" s="1" t="s">
        <v>526</v>
      </c>
      <c r="G70" s="1"/>
      <c r="H70" s="1"/>
      <c r="I70" s="1"/>
      <c r="J70" s="1"/>
      <c r="K70" s="1"/>
      <c r="L70" s="1"/>
      <c r="M70" s="1"/>
      <c r="N70" s="1"/>
      <c r="O70" s="1"/>
      <c r="P70" s="1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>
        <v>48</v>
      </c>
      <c r="BY70" s="139" t="s">
        <v>149</v>
      </c>
      <c r="BZ70" s="133">
        <f>Справочник!J2</f>
        <v>2018</v>
      </c>
      <c r="CA70" s="24">
        <f ca="1">INDIRECT("'"&amp;B2&amp;"'!D48")</f>
        <v>1099</v>
      </c>
      <c r="CB70" s="24">
        <f ca="1">INDIRECT("'"&amp;B2&amp;"'!E48")</f>
        <v>0</v>
      </c>
      <c r="CC70" s="24">
        <f ca="1">INDIRECT("'"&amp;B2&amp;"'!f48")</f>
        <v>0</v>
      </c>
      <c r="CD70" s="24">
        <f ca="1">INDIRECT("'"&amp;B2&amp;"'!G48")</f>
        <v>0</v>
      </c>
      <c r="CE70" s="24">
        <f ca="1">INDIRECT("'"&amp;B2&amp;"'!h48")</f>
        <v>0</v>
      </c>
      <c r="CF70" s="24">
        <f ca="1">INDIRECT("'"&amp;B2&amp;"'!I48")</f>
        <v>0</v>
      </c>
      <c r="CG70" s="24">
        <f ca="1">INDIRECT("'"&amp;B2&amp;"'!J48")</f>
        <v>0</v>
      </c>
      <c r="CH70" s="24">
        <f ca="1">INDIRECT("'"&amp;B2&amp;"'!K48")</f>
        <v>0</v>
      </c>
      <c r="CI70" s="24">
        <f ca="1">INDIRECT("'"&amp;B2&amp;"'!L48")</f>
        <v>0</v>
      </c>
      <c r="CJ70" s="24">
        <f ca="1">INDIRECT("'"&amp;B2&amp;"'!M48")</f>
        <v>0</v>
      </c>
      <c r="CK70" s="24">
        <f ca="1">INDIRECT("'"&amp;B2&amp;"'!N48")</f>
        <v>0</v>
      </c>
      <c r="CL70" s="24">
        <f ca="1">INDIRECT("'"&amp;B2&amp;"'!O48")</f>
        <v>0</v>
      </c>
      <c r="CM70" s="24"/>
      <c r="CN70" s="108"/>
      <c r="CO70" s="108"/>
      <c r="CP70" s="108"/>
      <c r="CQ70" s="108"/>
    </row>
    <row r="71" spans="1:104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333"/>
      <c r="R71" s="333"/>
      <c r="S71" s="333"/>
      <c r="T71" s="333"/>
      <c r="U71" s="333"/>
      <c r="V71" s="333"/>
      <c r="W71" s="333"/>
      <c r="X71" s="333"/>
      <c r="Y71" s="333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>
        <v>49</v>
      </c>
      <c r="BY71" s="132"/>
      <c r="BZ71" s="134">
        <f>Справочник!J1</f>
        <v>2019</v>
      </c>
      <c r="CA71" s="24">
        <f ca="1">INDIRECT("'"&amp;B2&amp;"'!D49")</f>
        <v>1070</v>
      </c>
      <c r="CB71" s="24">
        <f ca="1">INDIRECT("'"&amp;B2&amp;"'!E49")</f>
        <v>0</v>
      </c>
      <c r="CC71" s="24">
        <f ca="1">INDIRECT("'"&amp;B2&amp;"'!f49")</f>
        <v>0</v>
      </c>
      <c r="CD71" s="24">
        <f ca="1">INDIRECT("'"&amp;B2&amp;"'!G49")</f>
        <v>0</v>
      </c>
      <c r="CE71" s="24">
        <f ca="1">INDIRECT("'"&amp;B2&amp;"'!h49")</f>
        <v>0</v>
      </c>
      <c r="CF71" s="24">
        <f ca="1">INDIRECT("'"&amp;B2&amp;"'!I49")</f>
        <v>0</v>
      </c>
      <c r="CG71" s="24">
        <f ca="1">INDIRECT("'"&amp;B2&amp;"'!J49")</f>
        <v>0</v>
      </c>
      <c r="CH71" s="24">
        <f ca="1">INDIRECT("'"&amp;B2&amp;"'!K49")</f>
        <v>0</v>
      </c>
      <c r="CI71" s="24">
        <f ca="1">INDIRECT("'"&amp;B2&amp;"'!L49")</f>
        <v>0</v>
      </c>
      <c r="CJ71" s="24">
        <f ca="1">INDIRECT("'"&amp;B2&amp;"'!M49")</f>
        <v>0</v>
      </c>
      <c r="CK71" s="24">
        <f ca="1">INDIRECT("'"&amp;B2&amp;"'!N49")</f>
        <v>0</v>
      </c>
      <c r="CL71" s="24">
        <f ca="1">INDIRECT("'"&amp;B2&amp;"'!O49")</f>
        <v>0</v>
      </c>
      <c r="CM71" s="24"/>
      <c r="CN71" s="140" t="str">
        <f>BY72</f>
        <v>В общественных местах</v>
      </c>
      <c r="CO71" s="108">
        <f ca="1">CA72</f>
        <v>1128</v>
      </c>
      <c r="CP71" s="108">
        <f t="shared" ref="CP71:CZ71" ca="1" si="62">CB72</f>
        <v>0</v>
      </c>
      <c r="CQ71" s="108">
        <f t="shared" ca="1" si="62"/>
        <v>0</v>
      </c>
      <c r="CR71" s="108">
        <f t="shared" ca="1" si="62"/>
        <v>0</v>
      </c>
      <c r="CS71" s="108">
        <f t="shared" ca="1" si="62"/>
        <v>0</v>
      </c>
      <c r="CT71" s="108">
        <f t="shared" ca="1" si="62"/>
        <v>0</v>
      </c>
      <c r="CU71" s="108">
        <f t="shared" ca="1" si="62"/>
        <v>0</v>
      </c>
      <c r="CV71" s="108">
        <f t="shared" ca="1" si="62"/>
        <v>0</v>
      </c>
      <c r="CW71" s="108">
        <f t="shared" ca="1" si="62"/>
        <v>0</v>
      </c>
      <c r="CX71" s="108">
        <f t="shared" ca="1" si="62"/>
        <v>0</v>
      </c>
      <c r="CY71" s="108">
        <f t="shared" ca="1" si="62"/>
        <v>0</v>
      </c>
      <c r="CZ71" s="108">
        <f t="shared" ca="1" si="62"/>
        <v>0</v>
      </c>
    </row>
    <row r="72" spans="1:104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333"/>
      <c r="R72" s="333"/>
      <c r="S72" s="333"/>
      <c r="T72" s="333"/>
      <c r="U72" s="333"/>
      <c r="V72" s="333"/>
      <c r="W72" s="333"/>
      <c r="X72" s="333"/>
      <c r="Y72" s="333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>
        <v>50</v>
      </c>
      <c r="BY72" s="135" t="s">
        <v>367</v>
      </c>
      <c r="BZ72" s="133">
        <f>Справочник!J2</f>
        <v>2018</v>
      </c>
      <c r="CA72" s="24">
        <f ca="1">INDIRECT("'"&amp;B2&amp;"'!D50")</f>
        <v>1128</v>
      </c>
      <c r="CB72" s="24">
        <f ca="1">INDIRECT("'"&amp;B2&amp;"'!E50")</f>
        <v>0</v>
      </c>
      <c r="CC72" s="24">
        <f ca="1">INDIRECT("'"&amp;B2&amp;"'!f50")</f>
        <v>0</v>
      </c>
      <c r="CD72" s="24">
        <f ca="1">INDIRECT("'"&amp;B2&amp;"'!G50")</f>
        <v>0</v>
      </c>
      <c r="CE72" s="24">
        <f ca="1">INDIRECT("'"&amp;B2&amp;"'!h50")</f>
        <v>0</v>
      </c>
      <c r="CF72" s="24">
        <f ca="1">INDIRECT("'"&amp;B2&amp;"'!I50")</f>
        <v>0</v>
      </c>
      <c r="CG72" s="24">
        <f ca="1">INDIRECT("'"&amp;B2&amp;"'!J50")</f>
        <v>0</v>
      </c>
      <c r="CH72" s="24">
        <f ca="1">INDIRECT("'"&amp;B2&amp;"'!K50")</f>
        <v>0</v>
      </c>
      <c r="CI72" s="24">
        <f ca="1">INDIRECT("'"&amp;B2&amp;"'!L50")</f>
        <v>0</v>
      </c>
      <c r="CJ72" s="24">
        <f ca="1">INDIRECT("'"&amp;B2&amp;"'!M50")</f>
        <v>0</v>
      </c>
      <c r="CK72" s="24">
        <f ca="1">INDIRECT("'"&amp;B2&amp;"'!N50")</f>
        <v>0</v>
      </c>
      <c r="CL72" s="24">
        <f ca="1">INDIRECT("'"&amp;B2&amp;"'!O50")</f>
        <v>0</v>
      </c>
      <c r="CM72" s="24"/>
      <c r="CN72" s="140" t="s">
        <v>529</v>
      </c>
      <c r="CO72" s="194">
        <f ca="1">IFERROR(CO71/CA26,0)</f>
        <v>0.32009080590238365</v>
      </c>
      <c r="CP72" s="194">
        <f t="shared" ref="CP72:CZ72" ca="1" si="63">IFERROR(CP71/CB26,0)</f>
        <v>0</v>
      </c>
      <c r="CQ72" s="194">
        <f t="shared" ca="1" si="63"/>
        <v>0</v>
      </c>
      <c r="CR72" s="194">
        <f t="shared" ca="1" si="63"/>
        <v>0</v>
      </c>
      <c r="CS72" s="194">
        <f t="shared" ca="1" si="63"/>
        <v>0</v>
      </c>
      <c r="CT72" s="194">
        <f t="shared" ca="1" si="63"/>
        <v>0</v>
      </c>
      <c r="CU72" s="194">
        <f t="shared" ca="1" si="63"/>
        <v>0</v>
      </c>
      <c r="CV72" s="194">
        <f t="shared" ca="1" si="63"/>
        <v>0</v>
      </c>
      <c r="CW72" s="194">
        <f t="shared" ca="1" si="63"/>
        <v>0</v>
      </c>
      <c r="CX72" s="194">
        <f t="shared" ca="1" si="63"/>
        <v>0</v>
      </c>
      <c r="CY72" s="194">
        <f t="shared" ca="1" si="63"/>
        <v>0</v>
      </c>
      <c r="CZ72" s="194">
        <f t="shared" ca="1" si="63"/>
        <v>0</v>
      </c>
    </row>
    <row r="73" spans="1:104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>
        <v>51</v>
      </c>
      <c r="BY73" s="132"/>
      <c r="BZ73" s="134">
        <f>Справочник!J1</f>
        <v>2019</v>
      </c>
      <c r="CA73" s="24">
        <f ca="1">INDIRECT("'"&amp;B2&amp;"'!D51")</f>
        <v>1125</v>
      </c>
      <c r="CB73" s="24">
        <f ca="1">INDIRECT("'"&amp;B2&amp;"'!E51")</f>
        <v>0</v>
      </c>
      <c r="CC73" s="24">
        <f ca="1">INDIRECT("'"&amp;B2&amp;"'!f51")</f>
        <v>0</v>
      </c>
      <c r="CD73" s="24">
        <f ca="1">INDIRECT("'"&amp;B2&amp;"'!G51")</f>
        <v>0</v>
      </c>
      <c r="CE73" s="24">
        <f ca="1">INDIRECT("'"&amp;B2&amp;"'!h51")</f>
        <v>0</v>
      </c>
      <c r="CF73" s="24">
        <f ca="1">INDIRECT("'"&amp;B2&amp;"'!I51")</f>
        <v>0</v>
      </c>
      <c r="CG73" s="24">
        <f ca="1">INDIRECT("'"&amp;B2&amp;"'!J51")</f>
        <v>0</v>
      </c>
      <c r="CH73" s="24">
        <f ca="1">INDIRECT("'"&amp;B2&amp;"'!K51")</f>
        <v>0</v>
      </c>
      <c r="CI73" s="24">
        <f ca="1">INDIRECT("'"&amp;B2&amp;"'!L51")</f>
        <v>0</v>
      </c>
      <c r="CJ73" s="24">
        <f ca="1">INDIRECT("'"&amp;B2&amp;"'!M51")</f>
        <v>0</v>
      </c>
      <c r="CK73" s="24">
        <f ca="1">INDIRECT("'"&amp;B2&amp;"'!N51")</f>
        <v>0</v>
      </c>
      <c r="CL73" s="24">
        <f ca="1">INDIRECT("'"&amp;B2&amp;"'!O51")</f>
        <v>0</v>
      </c>
      <c r="CM73" s="24"/>
      <c r="CN73" s="140" t="str">
        <f>BY74</f>
        <v>в т.ч. на улицах</v>
      </c>
      <c r="CO73" s="108">
        <f ca="1">CA74</f>
        <v>702</v>
      </c>
      <c r="CP73" s="108">
        <f t="shared" ref="CP73:CZ73" ca="1" si="64">CB74</f>
        <v>0</v>
      </c>
      <c r="CQ73" s="108">
        <f t="shared" ca="1" si="64"/>
        <v>0</v>
      </c>
      <c r="CR73" s="108">
        <f t="shared" ca="1" si="64"/>
        <v>0</v>
      </c>
      <c r="CS73" s="108">
        <f t="shared" ca="1" si="64"/>
        <v>0</v>
      </c>
      <c r="CT73" s="108">
        <f t="shared" ca="1" si="64"/>
        <v>0</v>
      </c>
      <c r="CU73" s="108">
        <f t="shared" ca="1" si="64"/>
        <v>0</v>
      </c>
      <c r="CV73" s="108">
        <f t="shared" ca="1" si="64"/>
        <v>0</v>
      </c>
      <c r="CW73" s="108">
        <f t="shared" ca="1" si="64"/>
        <v>0</v>
      </c>
      <c r="CX73" s="108">
        <f t="shared" ca="1" si="64"/>
        <v>0</v>
      </c>
      <c r="CY73" s="108">
        <f t="shared" ca="1" si="64"/>
        <v>0</v>
      </c>
      <c r="CZ73" s="108">
        <f t="shared" ca="1" si="64"/>
        <v>0</v>
      </c>
    </row>
    <row r="74" spans="1:104" ht="15.75">
      <c r="Q74" s="333" t="s">
        <v>364</v>
      </c>
      <c r="R74" s="333"/>
      <c r="S74" s="333"/>
      <c r="T74" s="333"/>
      <c r="U74" s="333"/>
      <c r="V74" s="333"/>
      <c r="W74" s="333"/>
      <c r="X74" s="333"/>
      <c r="Y74" s="333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>
        <v>52</v>
      </c>
      <c r="BY74" s="135" t="s">
        <v>528</v>
      </c>
      <c r="BZ74" s="133">
        <f>Справочник!J2</f>
        <v>2018</v>
      </c>
      <c r="CA74" s="24">
        <f ca="1">INDIRECT("'"&amp;B2&amp;"'!D52")</f>
        <v>702</v>
      </c>
      <c r="CB74" s="24">
        <f ca="1">INDIRECT("'"&amp;B2&amp;"'!E52")</f>
        <v>0</v>
      </c>
      <c r="CC74" s="24">
        <f ca="1">INDIRECT("'"&amp;B2&amp;"'!f52")</f>
        <v>0</v>
      </c>
      <c r="CD74" s="24">
        <f ca="1">INDIRECT("'"&amp;B2&amp;"'!G52")</f>
        <v>0</v>
      </c>
      <c r="CE74" s="24">
        <f ca="1">INDIRECT("'"&amp;B2&amp;"'!h52")</f>
        <v>0</v>
      </c>
      <c r="CF74" s="24">
        <f ca="1">INDIRECT("'"&amp;B2&amp;"'!I52")</f>
        <v>0</v>
      </c>
      <c r="CG74" s="24">
        <f ca="1">INDIRECT("'"&amp;B2&amp;"'!J52")</f>
        <v>0</v>
      </c>
      <c r="CH74" s="24">
        <f ca="1">INDIRECT("'"&amp;B2&amp;"'!K52")</f>
        <v>0</v>
      </c>
      <c r="CI74" s="24">
        <f ca="1">INDIRECT("'"&amp;B2&amp;"'!L52")</f>
        <v>0</v>
      </c>
      <c r="CJ74" s="24">
        <f ca="1">INDIRECT("'"&amp;B2&amp;"'!M52")</f>
        <v>0</v>
      </c>
      <c r="CK74" s="24">
        <f ca="1">INDIRECT("'"&amp;B2&amp;"'!N52")</f>
        <v>0</v>
      </c>
      <c r="CL74" s="24">
        <f ca="1">INDIRECT("'"&amp;B2&amp;"'!O52")</f>
        <v>0</v>
      </c>
      <c r="CM74" s="24"/>
      <c r="CN74" s="140" t="s">
        <v>529</v>
      </c>
      <c r="CO74" s="194">
        <f ca="1">IFERROR(CO73/CA26,0)</f>
        <v>0.19920544835414303</v>
      </c>
      <c r="CP74" s="194">
        <f t="shared" ref="CP74:CZ74" ca="1" si="65">IFERROR(CP73/CB26,0)</f>
        <v>0</v>
      </c>
      <c r="CQ74" s="194">
        <f t="shared" ca="1" si="65"/>
        <v>0</v>
      </c>
      <c r="CR74" s="194">
        <f t="shared" ca="1" si="65"/>
        <v>0</v>
      </c>
      <c r="CS74" s="194">
        <f t="shared" ca="1" si="65"/>
        <v>0</v>
      </c>
      <c r="CT74" s="194">
        <f t="shared" ca="1" si="65"/>
        <v>0</v>
      </c>
      <c r="CU74" s="194">
        <f t="shared" ca="1" si="65"/>
        <v>0</v>
      </c>
      <c r="CV74" s="194">
        <f t="shared" ca="1" si="65"/>
        <v>0</v>
      </c>
      <c r="CW74" s="194">
        <f t="shared" ca="1" si="65"/>
        <v>0</v>
      </c>
      <c r="CX74" s="194">
        <f t="shared" ca="1" si="65"/>
        <v>0</v>
      </c>
      <c r="CY74" s="194">
        <f t="shared" ca="1" si="65"/>
        <v>0</v>
      </c>
      <c r="CZ74" s="194">
        <f t="shared" ca="1" si="65"/>
        <v>0</v>
      </c>
    </row>
    <row r="75" spans="1:104" ht="15.75">
      <c r="H75" s="333"/>
      <c r="I75" s="333"/>
      <c r="J75" s="333"/>
      <c r="K75" s="333"/>
      <c r="L75" s="333"/>
      <c r="M75" s="333"/>
      <c r="N75" s="333"/>
      <c r="O75" s="333"/>
      <c r="P75" s="333"/>
      <c r="Q75" s="333"/>
      <c r="R75" s="333"/>
      <c r="S75" s="333"/>
      <c r="T75" s="333"/>
      <c r="U75" s="333"/>
      <c r="V75" s="333"/>
      <c r="W75" s="333"/>
      <c r="X75" s="333"/>
      <c r="Y75" s="333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>
        <v>53</v>
      </c>
      <c r="BY75" s="132"/>
      <c r="BZ75" s="134">
        <f>Справочник!J1</f>
        <v>2019</v>
      </c>
      <c r="CA75" s="24">
        <f ca="1">INDIRECT("'"&amp;B2&amp;"'!D53")</f>
        <v>674</v>
      </c>
      <c r="CB75" s="24">
        <f ca="1">INDIRECT("'"&amp;B2&amp;"'!E53")</f>
        <v>0</v>
      </c>
      <c r="CC75" s="24">
        <f ca="1">INDIRECT("'"&amp;B2&amp;"'!f53")</f>
        <v>0</v>
      </c>
      <c r="CD75" s="24">
        <f ca="1">INDIRECT("'"&amp;B2&amp;"'!G53")</f>
        <v>0</v>
      </c>
      <c r="CE75" s="24">
        <f ca="1">INDIRECT("'"&amp;B2&amp;"'!h53")</f>
        <v>0</v>
      </c>
      <c r="CF75" s="24">
        <f ca="1">INDIRECT("'"&amp;B2&amp;"'!I53")</f>
        <v>0</v>
      </c>
      <c r="CG75" s="24">
        <f ca="1">INDIRECT("'"&amp;B2&amp;"'!J53")</f>
        <v>0</v>
      </c>
      <c r="CH75" s="24">
        <f ca="1">INDIRECT("'"&amp;B2&amp;"'!K53")</f>
        <v>0</v>
      </c>
      <c r="CI75" s="24">
        <f ca="1">INDIRECT("'"&amp;B2&amp;"'!L53")</f>
        <v>0</v>
      </c>
      <c r="CJ75" s="24">
        <f ca="1">INDIRECT("'"&amp;B2&amp;"'!M53")</f>
        <v>0</v>
      </c>
      <c r="CK75" s="24">
        <f ca="1">INDIRECT("'"&amp;B2&amp;"'!N53")</f>
        <v>0</v>
      </c>
      <c r="CL75" s="24">
        <f ca="1">INDIRECT("'"&amp;B2&amp;"'!O53")</f>
        <v>0</v>
      </c>
      <c r="CM75" s="24"/>
      <c r="CN75" s="108"/>
      <c r="CO75" s="108"/>
      <c r="CP75" s="108"/>
      <c r="CQ75" s="108"/>
    </row>
    <row r="76" spans="1:104" ht="15.75">
      <c r="H76" s="333"/>
      <c r="I76" s="333"/>
      <c r="J76" s="333"/>
      <c r="K76" s="333"/>
      <c r="L76" s="333"/>
      <c r="M76" s="333"/>
      <c r="N76" s="333"/>
      <c r="O76" s="333"/>
      <c r="P76" s="333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>
        <v>54</v>
      </c>
      <c r="BY76" s="135" t="s">
        <v>153</v>
      </c>
      <c r="BZ76" s="133">
        <f>Справочник!J2</f>
        <v>2018</v>
      </c>
      <c r="CA76" s="24">
        <f ca="1">INDIRECT("'"&amp;B2&amp;"'!D54")</f>
        <v>5</v>
      </c>
      <c r="CB76" s="24">
        <f ca="1">INDIRECT("'"&amp;B2&amp;"'!E54")</f>
        <v>0</v>
      </c>
      <c r="CC76" s="24">
        <f ca="1">INDIRECT("'"&amp;B2&amp;"'!f54")</f>
        <v>0</v>
      </c>
      <c r="CD76" s="24">
        <f ca="1">INDIRECT("'"&amp;B2&amp;"'!G54")</f>
        <v>0</v>
      </c>
      <c r="CE76" s="24">
        <f ca="1">INDIRECT("'"&amp;B2&amp;"'!h54")</f>
        <v>0</v>
      </c>
      <c r="CF76" s="24">
        <f ca="1">INDIRECT("'"&amp;B2&amp;"'!I54")</f>
        <v>0</v>
      </c>
      <c r="CG76" s="24">
        <f ca="1">INDIRECT("'"&amp;B2&amp;"'!J54")</f>
        <v>0</v>
      </c>
      <c r="CH76" s="24">
        <f ca="1">INDIRECT("'"&amp;B2&amp;"'!K54")</f>
        <v>0</v>
      </c>
      <c r="CI76" s="24">
        <f ca="1">INDIRECT("'"&amp;B2&amp;"'!L54")</f>
        <v>0</v>
      </c>
      <c r="CJ76" s="24">
        <f ca="1">INDIRECT("'"&amp;B2&amp;"'!M54")</f>
        <v>0</v>
      </c>
      <c r="CK76" s="24">
        <f ca="1">INDIRECT("'"&amp;B2&amp;"'!N54")</f>
        <v>0</v>
      </c>
      <c r="CL76" s="24">
        <f ca="1">INDIRECT("'"&amp;B2&amp;"'!O54")</f>
        <v>0</v>
      </c>
      <c r="CM76" s="24"/>
      <c r="CN76" s="108"/>
      <c r="CO76" s="108"/>
      <c r="CP76" s="108"/>
      <c r="CQ76" s="108"/>
    </row>
    <row r="77" spans="1:104" ht="15.75"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>
        <v>55</v>
      </c>
      <c r="BY77" s="132"/>
      <c r="BZ77" s="134">
        <f>Справочник!J1</f>
        <v>2019</v>
      </c>
      <c r="CA77" s="24">
        <f ca="1">INDIRECT("'"&amp;B2&amp;"'!D55")</f>
        <v>9</v>
      </c>
      <c r="CB77" s="24">
        <f ca="1">INDIRECT("'"&amp;B2&amp;"'!E55")</f>
        <v>0</v>
      </c>
      <c r="CC77" s="24">
        <f ca="1">INDIRECT("'"&amp;B2&amp;"'!f55")</f>
        <v>0</v>
      </c>
      <c r="CD77" s="24">
        <f ca="1">INDIRECT("'"&amp;B2&amp;"'!G55")</f>
        <v>0</v>
      </c>
      <c r="CE77" s="24">
        <f ca="1">INDIRECT("'"&amp;B2&amp;"'!h55")</f>
        <v>0</v>
      </c>
      <c r="CF77" s="24">
        <f ca="1">INDIRECT("'"&amp;B2&amp;"'!I55")</f>
        <v>0</v>
      </c>
      <c r="CG77" s="24">
        <f ca="1">INDIRECT("'"&amp;B2&amp;"'!J55")</f>
        <v>0</v>
      </c>
      <c r="CH77" s="24">
        <f ca="1">INDIRECT("'"&amp;B2&amp;"'!K55")</f>
        <v>0</v>
      </c>
      <c r="CI77" s="24">
        <f ca="1">INDIRECT("'"&amp;B2&amp;"'!L55")</f>
        <v>0</v>
      </c>
      <c r="CJ77" s="24">
        <f ca="1">INDIRECT("'"&amp;B2&amp;"'!M55")</f>
        <v>0</v>
      </c>
      <c r="CK77" s="24">
        <f ca="1">INDIRECT("'"&amp;B2&amp;"'!N55")</f>
        <v>0</v>
      </c>
      <c r="CL77" s="24">
        <f ca="1">INDIRECT("'"&amp;B2&amp;"'!O55")</f>
        <v>0</v>
      </c>
      <c r="CM77" s="24"/>
      <c r="CN77" s="108"/>
      <c r="CO77" s="108"/>
      <c r="CP77" s="108"/>
      <c r="CQ77" s="108"/>
    </row>
    <row r="78" spans="1:104" s="1" customFormat="1" ht="15.7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>
        <v>56</v>
      </c>
      <c r="BY78" s="135" t="s">
        <v>365</v>
      </c>
      <c r="BZ78" s="133">
        <f>Справочник!J2</f>
        <v>2018</v>
      </c>
      <c r="CA78" s="24">
        <f ca="1">INDIRECT("'"&amp;B2&amp;"'!D56")</f>
        <v>432</v>
      </c>
      <c r="CB78" s="24">
        <f ca="1">INDIRECT("'"&amp;B2&amp;"'!E56")</f>
        <v>0</v>
      </c>
      <c r="CC78" s="24">
        <f ca="1">INDIRECT("'"&amp;B2&amp;"'!F56")</f>
        <v>0</v>
      </c>
      <c r="CD78" s="24">
        <f ca="1">INDIRECT("'"&amp;B2&amp;"'!G56")</f>
        <v>0</v>
      </c>
      <c r="CE78" s="24">
        <f ca="1">INDIRECT("'"&amp;B2&amp;"'!h56")</f>
        <v>0</v>
      </c>
      <c r="CF78" s="24">
        <f ca="1">INDIRECT("'"&amp;B2&amp;"'!i56")</f>
        <v>0</v>
      </c>
      <c r="CG78" s="24">
        <f ca="1">INDIRECT("'"&amp;B2&amp;"'!j56")</f>
        <v>0</v>
      </c>
      <c r="CH78" s="24">
        <f ca="1">INDIRECT("'"&amp;B2&amp;"'!k56")</f>
        <v>0</v>
      </c>
      <c r="CI78" s="24">
        <f ca="1">INDIRECT("'"&amp;B2&amp;"'!l56")</f>
        <v>0</v>
      </c>
      <c r="CJ78" s="24">
        <f ca="1">INDIRECT("'"&amp;B2&amp;"'!m56")</f>
        <v>0</v>
      </c>
      <c r="CK78" s="24">
        <f ca="1">INDIRECT("'"&amp;B2&amp;"'!n56")</f>
        <v>0</v>
      </c>
      <c r="CL78" s="24">
        <f ca="1">INDIRECT("'"&amp;B2&amp;"'!o56")</f>
        <v>0</v>
      </c>
      <c r="CM78" s="24"/>
      <c r="CN78" s="108"/>
      <c r="CO78" s="108"/>
      <c r="CP78" s="108"/>
      <c r="CQ78" s="108"/>
    </row>
    <row r="79" spans="1:104" s="1" customFormat="1" ht="15.7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>
        <v>57</v>
      </c>
      <c r="BY79" s="132"/>
      <c r="BZ79" s="134">
        <f>Справочник!J1</f>
        <v>2019</v>
      </c>
      <c r="CA79" s="24">
        <f ca="1">INDIRECT("'"&amp;B2&amp;"'!D57")</f>
        <v>309</v>
      </c>
      <c r="CB79" s="24">
        <f ca="1">INDIRECT("'"&amp;B2&amp;"'!E57")</f>
        <v>0</v>
      </c>
      <c r="CC79" s="24">
        <f ca="1">INDIRECT("'"&amp;B2&amp;"'!F57")</f>
        <v>0</v>
      </c>
      <c r="CD79" s="24">
        <f ca="1">INDIRECT("'"&amp;B2&amp;"'!G57")</f>
        <v>0</v>
      </c>
      <c r="CE79" s="24">
        <f ca="1">INDIRECT("'"&amp;B2&amp;"'!h57")</f>
        <v>0</v>
      </c>
      <c r="CF79" s="24">
        <f ca="1">INDIRECT("'"&amp;B2&amp;"'!i57")</f>
        <v>0</v>
      </c>
      <c r="CG79" s="24">
        <f ca="1">INDIRECT("'"&amp;B2&amp;"'!j57")</f>
        <v>0</v>
      </c>
      <c r="CH79" s="24">
        <f ca="1">INDIRECT("'"&amp;B2&amp;"'!k57")</f>
        <v>0</v>
      </c>
      <c r="CI79" s="24">
        <f ca="1">INDIRECT("'"&amp;B2&amp;"'!l57")</f>
        <v>0</v>
      </c>
      <c r="CJ79" s="24">
        <f ca="1">INDIRECT("'"&amp;B2&amp;"'!m57")</f>
        <v>0</v>
      </c>
      <c r="CK79" s="24">
        <f ca="1">INDIRECT("'"&amp;B2&amp;"'!n57")</f>
        <v>0</v>
      </c>
      <c r="CL79" s="24">
        <f ca="1">INDIRECT("'"&amp;B2&amp;"'!o57")</f>
        <v>0</v>
      </c>
      <c r="CM79" s="24"/>
      <c r="CN79" s="108"/>
      <c r="CO79" s="108"/>
      <c r="CP79" s="108"/>
      <c r="CQ79" s="108"/>
    </row>
    <row r="80" spans="1:104" s="1" customFormat="1" ht="15.75">
      <c r="A80" s="1" t="s">
        <v>524</v>
      </c>
      <c r="B80"/>
      <c r="C80"/>
      <c r="D80"/>
      <c r="E80" s="189">
        <f>Справочник!J2</f>
        <v>2018</v>
      </c>
      <c r="F80" s="1" t="s">
        <v>526</v>
      </c>
      <c r="G80"/>
      <c r="H80"/>
      <c r="I80"/>
      <c r="J80"/>
      <c r="K80"/>
      <c r="L80"/>
      <c r="M80"/>
      <c r="N80"/>
      <c r="O80"/>
      <c r="P80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>
        <v>58</v>
      </c>
      <c r="BY80" s="135" t="s">
        <v>366</v>
      </c>
      <c r="BZ80" s="133">
        <f>Справочник!J2</f>
        <v>2018</v>
      </c>
      <c r="CA80" s="24">
        <f ca="1">INDIRECT("'"&amp;B2&amp;"'!D58")</f>
        <v>80</v>
      </c>
      <c r="CB80" s="24">
        <f ca="1">INDIRECT("'"&amp;B2&amp;"'!E58")</f>
        <v>0</v>
      </c>
      <c r="CC80" s="24">
        <f ca="1">INDIRECT("'"&amp;B2&amp;"'!F58")</f>
        <v>0</v>
      </c>
      <c r="CD80" s="24">
        <f ca="1">INDIRECT("'"&amp;B2&amp;"'!G58")</f>
        <v>0</v>
      </c>
      <c r="CE80" s="24">
        <f ca="1">INDIRECT("'"&amp;B2&amp;"'!h58")</f>
        <v>0</v>
      </c>
      <c r="CF80" s="24">
        <f ca="1">INDIRECT("'"&amp;B2&amp;"'!i58")</f>
        <v>0</v>
      </c>
      <c r="CG80" s="24">
        <f ca="1">INDIRECT("'"&amp;B2&amp;"'!j58")</f>
        <v>0</v>
      </c>
      <c r="CH80" s="24">
        <f ca="1">INDIRECT("'"&amp;B2&amp;"'!k58")</f>
        <v>0</v>
      </c>
      <c r="CI80" s="24">
        <f ca="1">INDIRECT("'"&amp;B2&amp;"'!l58")</f>
        <v>0</v>
      </c>
      <c r="CJ80" s="24">
        <f ca="1">INDIRECT("'"&amp;B2&amp;"'!m58")</f>
        <v>0</v>
      </c>
      <c r="CK80" s="24">
        <f ca="1">INDIRECT("'"&amp;B2&amp;"'!n58")</f>
        <v>0</v>
      </c>
      <c r="CL80" s="24">
        <f ca="1">INDIRECT("'"&amp;B2&amp;"'!o58")</f>
        <v>0</v>
      </c>
      <c r="CM80" s="24"/>
      <c r="CN80" s="108"/>
      <c r="CO80" s="108"/>
      <c r="CP80" s="108"/>
      <c r="CQ80" s="108"/>
    </row>
    <row r="81" spans="1:95" s="1" customFormat="1" ht="15.7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>
        <v>59</v>
      </c>
      <c r="BY81" s="132"/>
      <c r="BZ81" s="134">
        <f>Справочник!J1</f>
        <v>2019</v>
      </c>
      <c r="CA81" s="24">
        <f ca="1">INDIRECT("'"&amp;B2&amp;"'!D59")</f>
        <v>48</v>
      </c>
      <c r="CB81" s="24">
        <f ca="1">INDIRECT("'"&amp;B2&amp;"'!E59")</f>
        <v>0</v>
      </c>
      <c r="CC81" s="24">
        <f ca="1">INDIRECT("'"&amp;B2&amp;"'!F59")</f>
        <v>0</v>
      </c>
      <c r="CD81" s="24">
        <f ca="1">INDIRECT("'"&amp;B2&amp;"'!G59")</f>
        <v>0</v>
      </c>
      <c r="CE81" s="24">
        <f ca="1">INDIRECT("'"&amp;B2&amp;"'!h59")</f>
        <v>0</v>
      </c>
      <c r="CF81" s="24">
        <f ca="1">INDIRECT("'"&amp;B2&amp;"'!i59")</f>
        <v>0</v>
      </c>
      <c r="CG81" s="24">
        <f ca="1">INDIRECT("'"&amp;B2&amp;"'!j59")</f>
        <v>0</v>
      </c>
      <c r="CH81" s="24">
        <f ca="1">INDIRECT("'"&amp;B2&amp;"'!k59")</f>
        <v>0</v>
      </c>
      <c r="CI81" s="24">
        <f ca="1">INDIRECT("'"&amp;B2&amp;"'!l59")</f>
        <v>0</v>
      </c>
      <c r="CJ81" s="24">
        <f ca="1">INDIRECT("'"&amp;B2&amp;"'!m59")</f>
        <v>0</v>
      </c>
      <c r="CK81" s="24">
        <f ca="1">INDIRECT("'"&amp;B2&amp;"'!n59")</f>
        <v>0</v>
      </c>
      <c r="CL81" s="24">
        <f ca="1">INDIRECT("'"&amp;B2&amp;"'!o59")</f>
        <v>0</v>
      </c>
      <c r="CM81" s="24"/>
      <c r="CN81" s="108"/>
      <c r="CO81" s="108"/>
      <c r="CP81" s="108"/>
      <c r="CQ81" s="108"/>
    </row>
    <row r="82" spans="1:95">
      <c r="H82" s="1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24" t="s">
        <v>178</v>
      </c>
      <c r="CB82" s="124" t="s">
        <v>179</v>
      </c>
      <c r="CC82" s="124" t="s">
        <v>180</v>
      </c>
      <c r="CD82" s="124" t="s">
        <v>181</v>
      </c>
      <c r="CE82" s="124" t="s">
        <v>182</v>
      </c>
      <c r="CF82" s="124" t="s">
        <v>183</v>
      </c>
      <c r="CG82" s="124" t="s">
        <v>184</v>
      </c>
      <c r="CH82" s="124" t="s">
        <v>185</v>
      </c>
      <c r="CI82" s="124" t="s">
        <v>186</v>
      </c>
      <c r="CJ82" s="124" t="s">
        <v>187</v>
      </c>
      <c r="CK82" s="124" t="s">
        <v>188</v>
      </c>
      <c r="CL82" s="124" t="s">
        <v>189</v>
      </c>
      <c r="CM82" s="108"/>
      <c r="CN82" s="108"/>
      <c r="CO82" s="108"/>
      <c r="CP82" s="108"/>
      <c r="CQ82" s="108"/>
    </row>
    <row r="83" spans="1:95">
      <c r="H83" s="1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 t="s">
        <v>520</v>
      </c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</row>
    <row r="84" spans="1:95">
      <c r="H84" s="1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24" t="s">
        <v>18</v>
      </c>
      <c r="CB84" s="124" t="s">
        <v>19</v>
      </c>
      <c r="CC84" s="124" t="s">
        <v>20</v>
      </c>
      <c r="CD84" s="124" t="s">
        <v>47</v>
      </c>
      <c r="CE84" s="124" t="s">
        <v>48</v>
      </c>
      <c r="CF84" s="124" t="s">
        <v>49</v>
      </c>
      <c r="CG84" s="124" t="s">
        <v>50</v>
      </c>
      <c r="CH84" s="124" t="s">
        <v>51</v>
      </c>
      <c r="CI84" s="124" t="s">
        <v>52</v>
      </c>
      <c r="CJ84" s="124" t="s">
        <v>53</v>
      </c>
      <c r="CK84" s="124" t="s">
        <v>54</v>
      </c>
      <c r="CL84" s="124" t="s">
        <v>55</v>
      </c>
      <c r="CM84" s="108"/>
      <c r="CN84" s="108"/>
      <c r="CO84" s="108"/>
      <c r="CP84" s="108"/>
      <c r="CQ84" s="108"/>
    </row>
    <row r="85" spans="1:95">
      <c r="H85" s="1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40" t="s">
        <v>266</v>
      </c>
      <c r="BZ85" s="108" t="s">
        <v>268</v>
      </c>
      <c r="CA85" s="108">
        <f ca="1">CA26</f>
        <v>3524</v>
      </c>
      <c r="CB85" s="108">
        <f t="shared" ref="CB85:CL85" ca="1" si="66">CB26</f>
        <v>0</v>
      </c>
      <c r="CC85" s="108">
        <f t="shared" ca="1" si="66"/>
        <v>0</v>
      </c>
      <c r="CD85" s="108">
        <f t="shared" ca="1" si="66"/>
        <v>0</v>
      </c>
      <c r="CE85" s="108">
        <f t="shared" ca="1" si="66"/>
        <v>0</v>
      </c>
      <c r="CF85" s="108">
        <f t="shared" ca="1" si="66"/>
        <v>0</v>
      </c>
      <c r="CG85" s="108">
        <f t="shared" ca="1" si="66"/>
        <v>0</v>
      </c>
      <c r="CH85" s="108">
        <f t="shared" ca="1" si="66"/>
        <v>0</v>
      </c>
      <c r="CI85" s="108">
        <f t="shared" ca="1" si="66"/>
        <v>0</v>
      </c>
      <c r="CJ85" s="108">
        <f t="shared" ca="1" si="66"/>
        <v>0</v>
      </c>
      <c r="CK85" s="108">
        <f t="shared" ca="1" si="66"/>
        <v>0</v>
      </c>
      <c r="CL85" s="108">
        <f t="shared" ca="1" si="66"/>
        <v>0</v>
      </c>
      <c r="CM85" s="141">
        <f ca="1">SUM(CA89:CL89)</f>
        <v>3524</v>
      </c>
      <c r="CN85" s="108"/>
      <c r="CO85" s="108"/>
      <c r="CP85" s="108"/>
      <c r="CQ85" s="108"/>
    </row>
    <row r="86" spans="1:95">
      <c r="H86" s="1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40" t="s">
        <v>267</v>
      </c>
      <c r="BZ86" s="108"/>
      <c r="CA86" s="108">
        <f ca="1">CA28</f>
        <v>706</v>
      </c>
      <c r="CB86" s="108">
        <f t="shared" ref="CB86:CL86" ca="1" si="67">CB28</f>
        <v>0</v>
      </c>
      <c r="CC86" s="108">
        <f t="shared" ca="1" si="67"/>
        <v>0</v>
      </c>
      <c r="CD86" s="108">
        <f t="shared" ca="1" si="67"/>
        <v>0</v>
      </c>
      <c r="CE86" s="108">
        <f t="shared" ca="1" si="67"/>
        <v>0</v>
      </c>
      <c r="CF86" s="108">
        <f t="shared" ca="1" si="67"/>
        <v>0</v>
      </c>
      <c r="CG86" s="108">
        <f t="shared" ca="1" si="67"/>
        <v>0</v>
      </c>
      <c r="CH86" s="108">
        <f t="shared" ca="1" si="67"/>
        <v>0</v>
      </c>
      <c r="CI86" s="108">
        <f t="shared" ca="1" si="67"/>
        <v>0</v>
      </c>
      <c r="CJ86" s="108">
        <f t="shared" ca="1" si="67"/>
        <v>0</v>
      </c>
      <c r="CK86" s="108">
        <f t="shared" ca="1" si="67"/>
        <v>0</v>
      </c>
      <c r="CL86" s="108">
        <f t="shared" ca="1" si="67"/>
        <v>0</v>
      </c>
      <c r="CM86" s="141"/>
      <c r="CN86" s="108"/>
      <c r="CO86" s="108"/>
      <c r="CP86" s="108"/>
      <c r="CQ86" s="108"/>
    </row>
    <row r="87" spans="1:95">
      <c r="H87" s="1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 t="s">
        <v>269</v>
      </c>
      <c r="CA87" s="108">
        <f ca="1">CA27</f>
        <v>3565</v>
      </c>
      <c r="CB87" s="108">
        <f t="shared" ref="CB87:CL87" ca="1" si="68">CB27</f>
        <v>0</v>
      </c>
      <c r="CC87" s="108">
        <f t="shared" ca="1" si="68"/>
        <v>0</v>
      </c>
      <c r="CD87" s="108">
        <f t="shared" ca="1" si="68"/>
        <v>0</v>
      </c>
      <c r="CE87" s="108">
        <f t="shared" ca="1" si="68"/>
        <v>0</v>
      </c>
      <c r="CF87" s="108">
        <f t="shared" ca="1" si="68"/>
        <v>0</v>
      </c>
      <c r="CG87" s="108">
        <f t="shared" ca="1" si="68"/>
        <v>0</v>
      </c>
      <c r="CH87" s="108">
        <f t="shared" ca="1" si="68"/>
        <v>0</v>
      </c>
      <c r="CI87" s="108">
        <f t="shared" ca="1" si="68"/>
        <v>0</v>
      </c>
      <c r="CJ87" s="108">
        <f t="shared" ca="1" si="68"/>
        <v>0</v>
      </c>
      <c r="CK87" s="108">
        <f t="shared" ca="1" si="68"/>
        <v>0</v>
      </c>
      <c r="CL87" s="108">
        <f t="shared" ca="1" si="68"/>
        <v>0</v>
      </c>
      <c r="CM87" s="141">
        <f ca="1">SUM(CA91:CL91)</f>
        <v>3565</v>
      </c>
      <c r="CN87" s="108"/>
      <c r="CO87" s="108"/>
      <c r="CP87" s="108"/>
      <c r="CQ87" s="108"/>
    </row>
    <row r="88" spans="1:95">
      <c r="H88" s="1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>
        <f ca="1">CA29</f>
        <v>685</v>
      </c>
      <c r="CB88" s="108">
        <f t="shared" ref="CB88:CL88" ca="1" si="69">CB29</f>
        <v>0</v>
      </c>
      <c r="CC88" s="108">
        <f t="shared" ca="1" si="69"/>
        <v>0</v>
      </c>
      <c r="CD88" s="108">
        <f t="shared" ca="1" si="69"/>
        <v>0</v>
      </c>
      <c r="CE88" s="108">
        <f t="shared" ca="1" si="69"/>
        <v>0</v>
      </c>
      <c r="CF88" s="108">
        <f t="shared" ca="1" si="69"/>
        <v>0</v>
      </c>
      <c r="CG88" s="108">
        <f t="shared" ca="1" si="69"/>
        <v>0</v>
      </c>
      <c r="CH88" s="108">
        <f t="shared" ca="1" si="69"/>
        <v>0</v>
      </c>
      <c r="CI88" s="108">
        <f t="shared" ca="1" si="69"/>
        <v>0</v>
      </c>
      <c r="CJ88" s="108">
        <f t="shared" ca="1" si="69"/>
        <v>0</v>
      </c>
      <c r="CK88" s="108">
        <f t="shared" ca="1" si="69"/>
        <v>0</v>
      </c>
      <c r="CL88" s="108">
        <f t="shared" ca="1" si="69"/>
        <v>0</v>
      </c>
      <c r="CM88" s="141"/>
      <c r="CN88" s="108"/>
      <c r="CO88" s="108"/>
      <c r="CP88" s="108"/>
      <c r="CQ88" s="108"/>
    </row>
    <row r="89" spans="1:95">
      <c r="H89" s="1"/>
      <c r="Q89" s="333"/>
      <c r="R89" s="333"/>
      <c r="S89" s="333"/>
      <c r="T89" s="333"/>
      <c r="U89" s="333"/>
      <c r="V89" s="333"/>
      <c r="W89" s="333"/>
      <c r="X89" s="333"/>
      <c r="Y89" s="333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40" t="s">
        <v>270</v>
      </c>
      <c r="BZ89" s="108" t="s">
        <v>519</v>
      </c>
      <c r="CA89" s="108">
        <f ca="1">CA85</f>
        <v>3524</v>
      </c>
      <c r="CB89" s="108" t="str">
        <f t="shared" ref="CB89:CE92" ca="1" si="70">IF((CB85-CA85)&lt;=0,"",CB85-CA85)</f>
        <v/>
      </c>
      <c r="CC89" s="108" t="str">
        <f t="shared" ref="CC89:CC90" ca="1" si="71">IF((CC85-CB85)&lt;=0,"",CC85-CB85)</f>
        <v/>
      </c>
      <c r="CD89" s="108" t="str">
        <f t="shared" ref="CD89:CD90" ca="1" si="72">IF((CD85-CC85)&lt;=0,"",CD85-CC85)</f>
        <v/>
      </c>
      <c r="CE89" s="108" t="str">
        <f t="shared" ref="CE89:CE90" ca="1" si="73">IF((CE85-CD85)&lt;=0,"",CE85-CD85)</f>
        <v/>
      </c>
      <c r="CF89" s="108" t="str">
        <f t="shared" ref="CF89:CF90" ca="1" si="74">IF((CF85-CE85)&lt;=0,"",CF85-CE85)</f>
        <v/>
      </c>
      <c r="CG89" s="108" t="str">
        <f t="shared" ref="CG89:CG90" ca="1" si="75">IF((CG85-CF85)&lt;=0,"",CG85-CF85)</f>
        <v/>
      </c>
      <c r="CH89" s="108" t="str">
        <f t="shared" ref="CH89:CH90" ca="1" si="76">IF((CH85-CG85)&lt;=0,"",CH85-CG85)</f>
        <v/>
      </c>
      <c r="CI89" s="108" t="str">
        <f t="shared" ref="CI89:CI90" ca="1" si="77">IF((CI85-CH85)&lt;=0,"",CI85-CH85)</f>
        <v/>
      </c>
      <c r="CJ89" s="108" t="str">
        <f t="shared" ref="CJ89:CJ90" ca="1" si="78">IF((CJ85-CI85)&lt;=0,"",CJ85-CI85)</f>
        <v/>
      </c>
      <c r="CK89" s="108" t="str">
        <f t="shared" ref="CK89:CK90" ca="1" si="79">IF((CK85-CJ85)&lt;=0,"",CK85-CJ85)</f>
        <v/>
      </c>
      <c r="CL89" s="108" t="str">
        <f t="shared" ref="CL89:CL90" ca="1" si="80">IF((CL85-CK85)&lt;=0,"",CL85-CK85)</f>
        <v/>
      </c>
      <c r="CM89" s="141"/>
      <c r="CN89" s="108"/>
      <c r="CO89" s="108"/>
      <c r="CP89" s="108"/>
      <c r="CQ89" s="108"/>
    </row>
    <row r="90" spans="1:95">
      <c r="H90" s="1"/>
      <c r="Q90" s="333"/>
      <c r="R90" s="333"/>
      <c r="S90" s="333"/>
      <c r="T90" s="333"/>
      <c r="U90" s="333"/>
      <c r="V90" s="333"/>
      <c r="W90" s="333"/>
      <c r="X90" s="333"/>
      <c r="Y90" s="333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>
        <f ca="1">CA86</f>
        <v>706</v>
      </c>
      <c r="CB90" s="108" t="str">
        <f t="shared" ca="1" si="70"/>
        <v/>
      </c>
      <c r="CC90" s="108" t="str">
        <f t="shared" ca="1" si="71"/>
        <v/>
      </c>
      <c r="CD90" s="108" t="str">
        <f t="shared" ca="1" si="72"/>
        <v/>
      </c>
      <c r="CE90" s="108" t="str">
        <f t="shared" ca="1" si="73"/>
        <v/>
      </c>
      <c r="CF90" s="108" t="str">
        <f t="shared" ca="1" si="74"/>
        <v/>
      </c>
      <c r="CG90" s="108" t="str">
        <f t="shared" ca="1" si="75"/>
        <v/>
      </c>
      <c r="CH90" s="108" t="str">
        <f t="shared" ca="1" si="76"/>
        <v/>
      </c>
      <c r="CI90" s="108" t="str">
        <f t="shared" ca="1" si="77"/>
        <v/>
      </c>
      <c r="CJ90" s="108" t="str">
        <f t="shared" ca="1" si="78"/>
        <v/>
      </c>
      <c r="CK90" s="108" t="str">
        <f t="shared" ca="1" si="79"/>
        <v/>
      </c>
      <c r="CL90" s="108" t="str">
        <f t="shared" ca="1" si="80"/>
        <v/>
      </c>
      <c r="CM90" s="141"/>
      <c r="CN90" s="108"/>
      <c r="CO90" s="108"/>
      <c r="CP90" s="108"/>
      <c r="CQ90" s="108"/>
    </row>
    <row r="91" spans="1:95">
      <c r="H91" s="1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 t="s">
        <v>269</v>
      </c>
      <c r="CA91" s="108">
        <f ca="1">CA87</f>
        <v>3565</v>
      </c>
      <c r="CB91" s="108" t="str">
        <f t="shared" ca="1" si="70"/>
        <v/>
      </c>
      <c r="CC91" s="108" t="str">
        <f t="shared" ca="1" si="70"/>
        <v/>
      </c>
      <c r="CD91" s="108" t="str">
        <f t="shared" ca="1" si="70"/>
        <v/>
      </c>
      <c r="CE91" s="108" t="str">
        <f t="shared" ca="1" si="70"/>
        <v/>
      </c>
      <c r="CF91" s="108" t="str">
        <f t="shared" ref="CF91:CF92" ca="1" si="81">IF((CF87-CE87)&lt;=0,"",CF87-CE87)</f>
        <v/>
      </c>
      <c r="CG91" s="108" t="str">
        <f t="shared" ref="CG91:CG92" ca="1" si="82">IF((CG87-CF87)&lt;=0,"",CG87-CF87)</f>
        <v/>
      </c>
      <c r="CH91" s="108" t="str">
        <f t="shared" ref="CH91:CH92" ca="1" si="83">IF((CH87-CG87)&lt;=0,"",CH87-CG87)</f>
        <v/>
      </c>
      <c r="CI91" s="108" t="str">
        <f t="shared" ref="CI91:CI92" ca="1" si="84">IF((CI87-CH87)&lt;=0,"",CI87-CH87)</f>
        <v/>
      </c>
      <c r="CJ91" s="108" t="str">
        <f t="shared" ref="CJ91:CJ92" ca="1" si="85">IF((CJ87-CI87)&lt;=0,"",CJ87-CI87)</f>
        <v/>
      </c>
      <c r="CK91" s="108" t="str">
        <f t="shared" ref="CK91:CK92" ca="1" si="86">IF((CK87-CJ87)&lt;=0,"",CK87-CJ87)</f>
        <v/>
      </c>
      <c r="CL91" s="108" t="str">
        <f t="shared" ref="CL91:CL92" ca="1" si="87">IF((CL87-CK87)&lt;=0,"",CL87-CK87)</f>
        <v/>
      </c>
      <c r="CM91" s="108"/>
      <c r="CN91" s="108"/>
      <c r="CO91" s="108"/>
      <c r="CP91" s="108"/>
      <c r="CQ91" s="108"/>
    </row>
    <row r="92" spans="1:95">
      <c r="H92" s="1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>
        <f ca="1">CA88</f>
        <v>685</v>
      </c>
      <c r="CB92" s="108" t="str">
        <f t="shared" ca="1" si="70"/>
        <v/>
      </c>
      <c r="CC92" s="108" t="str">
        <f t="shared" ca="1" si="70"/>
        <v/>
      </c>
      <c r="CD92" s="108" t="str">
        <f t="shared" ca="1" si="70"/>
        <v/>
      </c>
      <c r="CE92" s="108" t="str">
        <f t="shared" ca="1" si="70"/>
        <v/>
      </c>
      <c r="CF92" s="108" t="str">
        <f t="shared" ca="1" si="81"/>
        <v/>
      </c>
      <c r="CG92" s="108" t="str">
        <f t="shared" ca="1" si="82"/>
        <v/>
      </c>
      <c r="CH92" s="108" t="str">
        <f t="shared" ca="1" si="83"/>
        <v/>
      </c>
      <c r="CI92" s="108" t="str">
        <f t="shared" ca="1" si="84"/>
        <v/>
      </c>
      <c r="CJ92" s="108" t="str">
        <f t="shared" ca="1" si="85"/>
        <v/>
      </c>
      <c r="CK92" s="108" t="str">
        <f t="shared" ca="1" si="86"/>
        <v/>
      </c>
      <c r="CL92" s="108" t="str">
        <f t="shared" ca="1" si="87"/>
        <v/>
      </c>
      <c r="CM92" s="108"/>
      <c r="CN92" s="108"/>
      <c r="CO92" s="108"/>
      <c r="CP92" s="108"/>
      <c r="CQ92" s="108"/>
    </row>
    <row r="93" spans="1:95">
      <c r="H93" s="1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</row>
    <row r="94" spans="1:95" ht="15.75">
      <c r="H94" s="1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36" t="s">
        <v>337</v>
      </c>
      <c r="BZ94" s="108" t="s">
        <v>269</v>
      </c>
      <c r="CA94" s="108">
        <f ca="1">CA31</f>
        <v>27</v>
      </c>
      <c r="CB94" s="108">
        <f t="shared" ref="CB94:CL94" ca="1" si="88">CB31</f>
        <v>0</v>
      </c>
      <c r="CC94" s="108">
        <f t="shared" ca="1" si="88"/>
        <v>0</v>
      </c>
      <c r="CD94" s="108">
        <f t="shared" ca="1" si="88"/>
        <v>0</v>
      </c>
      <c r="CE94" s="108">
        <f t="shared" ca="1" si="88"/>
        <v>0</v>
      </c>
      <c r="CF94" s="108">
        <f t="shared" ca="1" si="88"/>
        <v>0</v>
      </c>
      <c r="CG94" s="108">
        <f t="shared" ca="1" si="88"/>
        <v>0</v>
      </c>
      <c r="CH94" s="108">
        <f t="shared" ca="1" si="88"/>
        <v>0</v>
      </c>
      <c r="CI94" s="108">
        <f t="shared" ca="1" si="88"/>
        <v>0</v>
      </c>
      <c r="CJ94" s="108">
        <f t="shared" ca="1" si="88"/>
        <v>0</v>
      </c>
      <c r="CK94" s="108">
        <f t="shared" ca="1" si="88"/>
        <v>0</v>
      </c>
      <c r="CL94" s="108">
        <f t="shared" ca="1" si="88"/>
        <v>0</v>
      </c>
      <c r="CM94" s="108"/>
      <c r="CN94" s="108"/>
      <c r="CO94" s="108"/>
      <c r="CP94" s="108"/>
      <c r="CQ94" s="108"/>
    </row>
    <row r="95" spans="1:95" ht="15.75">
      <c r="H95" s="1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37" t="s">
        <v>338</v>
      </c>
      <c r="BZ95" s="108"/>
      <c r="CA95" s="108">
        <f ca="1">CA33</f>
        <v>66</v>
      </c>
      <c r="CB95" s="108">
        <f t="shared" ref="CB95:CL95" ca="1" si="89">CB33</f>
        <v>0</v>
      </c>
      <c r="CC95" s="108">
        <f t="shared" ca="1" si="89"/>
        <v>0</v>
      </c>
      <c r="CD95" s="108">
        <f t="shared" ca="1" si="89"/>
        <v>0</v>
      </c>
      <c r="CE95" s="108">
        <f t="shared" ca="1" si="89"/>
        <v>0</v>
      </c>
      <c r="CF95" s="108">
        <f t="shared" ca="1" si="89"/>
        <v>0</v>
      </c>
      <c r="CG95" s="108">
        <f t="shared" ca="1" si="89"/>
        <v>0</v>
      </c>
      <c r="CH95" s="108">
        <f t="shared" ca="1" si="89"/>
        <v>0</v>
      </c>
      <c r="CI95" s="108">
        <f t="shared" ca="1" si="89"/>
        <v>0</v>
      </c>
      <c r="CJ95" s="108">
        <f t="shared" ca="1" si="89"/>
        <v>0</v>
      </c>
      <c r="CK95" s="108">
        <f t="shared" ca="1" si="89"/>
        <v>0</v>
      </c>
      <c r="CL95" s="108">
        <f t="shared" ca="1" si="89"/>
        <v>0</v>
      </c>
      <c r="CM95" s="108"/>
      <c r="CN95" s="108"/>
      <c r="CO95" s="108"/>
      <c r="CP95" s="108"/>
      <c r="CQ95" s="108"/>
    </row>
    <row r="96" spans="1:95" ht="15.75">
      <c r="H96" s="1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38" t="s">
        <v>339</v>
      </c>
      <c r="BZ96" s="108"/>
      <c r="CA96" s="108">
        <f ca="1">CA35</f>
        <v>11</v>
      </c>
      <c r="CB96" s="108">
        <f t="shared" ref="CB96:CL96" ca="1" si="90">CB35</f>
        <v>0</v>
      </c>
      <c r="CC96" s="108">
        <f t="shared" ca="1" si="90"/>
        <v>0</v>
      </c>
      <c r="CD96" s="108">
        <f t="shared" ca="1" si="90"/>
        <v>0</v>
      </c>
      <c r="CE96" s="108">
        <f t="shared" ca="1" si="90"/>
        <v>0</v>
      </c>
      <c r="CF96" s="108">
        <f t="shared" ca="1" si="90"/>
        <v>0</v>
      </c>
      <c r="CG96" s="108">
        <f t="shared" ca="1" si="90"/>
        <v>0</v>
      </c>
      <c r="CH96" s="108">
        <f t="shared" ca="1" si="90"/>
        <v>0</v>
      </c>
      <c r="CI96" s="108">
        <f t="shared" ca="1" si="90"/>
        <v>0</v>
      </c>
      <c r="CJ96" s="108">
        <f t="shared" ca="1" si="90"/>
        <v>0</v>
      </c>
      <c r="CK96" s="108">
        <f t="shared" ca="1" si="90"/>
        <v>0</v>
      </c>
      <c r="CL96" s="108">
        <f t="shared" ca="1" si="90"/>
        <v>0</v>
      </c>
      <c r="CM96" s="108"/>
      <c r="CN96" s="108"/>
      <c r="CO96" s="108"/>
      <c r="CP96" s="108"/>
      <c r="CQ96" s="108"/>
    </row>
    <row r="97" spans="8:95" ht="15.75">
      <c r="H97" s="1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36" t="s">
        <v>337</v>
      </c>
      <c r="BZ97" s="108" t="s">
        <v>268</v>
      </c>
      <c r="CA97" s="108">
        <f ca="1">CA30</f>
        <v>22</v>
      </c>
      <c r="CB97" s="108">
        <f t="shared" ref="CB97:CL97" ca="1" si="91">CB30</f>
        <v>0</v>
      </c>
      <c r="CC97" s="108">
        <f t="shared" ca="1" si="91"/>
        <v>0</v>
      </c>
      <c r="CD97" s="108">
        <f t="shared" ca="1" si="91"/>
        <v>0</v>
      </c>
      <c r="CE97" s="108">
        <f t="shared" ca="1" si="91"/>
        <v>0</v>
      </c>
      <c r="CF97" s="108">
        <f t="shared" ca="1" si="91"/>
        <v>0</v>
      </c>
      <c r="CG97" s="108">
        <f t="shared" ca="1" si="91"/>
        <v>0</v>
      </c>
      <c r="CH97" s="108">
        <f t="shared" ca="1" si="91"/>
        <v>0</v>
      </c>
      <c r="CI97" s="108">
        <f t="shared" ca="1" si="91"/>
        <v>0</v>
      </c>
      <c r="CJ97" s="108">
        <f t="shared" ca="1" si="91"/>
        <v>0</v>
      </c>
      <c r="CK97" s="108">
        <f t="shared" ca="1" si="91"/>
        <v>0</v>
      </c>
      <c r="CL97" s="108">
        <f t="shared" ca="1" si="91"/>
        <v>0</v>
      </c>
      <c r="CM97" s="108"/>
      <c r="CN97" s="108"/>
      <c r="CO97" s="108"/>
      <c r="CP97" s="108"/>
      <c r="CQ97" s="108"/>
    </row>
    <row r="98" spans="8:95" ht="15.75">
      <c r="H98" s="1"/>
      <c r="K98" s="1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37" t="s">
        <v>338</v>
      </c>
      <c r="BZ98" s="108"/>
      <c r="CA98" s="108">
        <f ca="1">CA32</f>
        <v>74</v>
      </c>
      <c r="CB98" s="108">
        <f t="shared" ref="CB98:CL98" ca="1" si="92">CB32</f>
        <v>0</v>
      </c>
      <c r="CC98" s="108">
        <f t="shared" ca="1" si="92"/>
        <v>0</v>
      </c>
      <c r="CD98" s="108">
        <f t="shared" ca="1" si="92"/>
        <v>0</v>
      </c>
      <c r="CE98" s="108">
        <f t="shared" ca="1" si="92"/>
        <v>0</v>
      </c>
      <c r="CF98" s="108">
        <f t="shared" ca="1" si="92"/>
        <v>0</v>
      </c>
      <c r="CG98" s="108">
        <f t="shared" ca="1" si="92"/>
        <v>0</v>
      </c>
      <c r="CH98" s="108">
        <f t="shared" ca="1" si="92"/>
        <v>0</v>
      </c>
      <c r="CI98" s="108">
        <f t="shared" ca="1" si="92"/>
        <v>0</v>
      </c>
      <c r="CJ98" s="108">
        <f t="shared" ca="1" si="92"/>
        <v>0</v>
      </c>
      <c r="CK98" s="108">
        <f t="shared" ca="1" si="92"/>
        <v>0</v>
      </c>
      <c r="CL98" s="108">
        <f t="shared" ca="1" si="92"/>
        <v>0</v>
      </c>
      <c r="CM98" s="108"/>
      <c r="CN98" s="108"/>
      <c r="CO98" s="108"/>
      <c r="CP98" s="108"/>
      <c r="CQ98" s="108"/>
    </row>
    <row r="99" spans="8:95" ht="15.75">
      <c r="H99" s="1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38" t="s">
        <v>339</v>
      </c>
      <c r="BZ99" s="108"/>
      <c r="CA99" s="108">
        <f ca="1">CA34</f>
        <v>12</v>
      </c>
      <c r="CB99" s="108">
        <f t="shared" ref="CB99:CL99" ca="1" si="93">CB34</f>
        <v>0</v>
      </c>
      <c r="CC99" s="108">
        <f t="shared" ca="1" si="93"/>
        <v>0</v>
      </c>
      <c r="CD99" s="108">
        <f t="shared" ca="1" si="93"/>
        <v>0</v>
      </c>
      <c r="CE99" s="108">
        <f t="shared" ca="1" si="93"/>
        <v>0</v>
      </c>
      <c r="CF99" s="108">
        <f t="shared" ca="1" si="93"/>
        <v>0</v>
      </c>
      <c r="CG99" s="108">
        <f t="shared" ca="1" si="93"/>
        <v>0</v>
      </c>
      <c r="CH99" s="108">
        <f t="shared" ca="1" si="93"/>
        <v>0</v>
      </c>
      <c r="CI99" s="108">
        <f t="shared" ca="1" si="93"/>
        <v>0</v>
      </c>
      <c r="CJ99" s="108">
        <f t="shared" ca="1" si="93"/>
        <v>0</v>
      </c>
      <c r="CK99" s="108">
        <f t="shared" ca="1" si="93"/>
        <v>0</v>
      </c>
      <c r="CL99" s="108">
        <f t="shared" ca="1" si="93"/>
        <v>0</v>
      </c>
      <c r="CM99" s="108"/>
      <c r="CN99" s="108"/>
      <c r="CO99" s="108"/>
      <c r="CP99" s="108"/>
      <c r="CQ99" s="108"/>
    </row>
    <row r="100" spans="8:95" ht="15.75">
      <c r="H100" s="1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 t="s">
        <v>503</v>
      </c>
      <c r="BX100" s="108"/>
      <c r="BY100" s="136" t="s">
        <v>337</v>
      </c>
      <c r="BZ100" s="108" t="s">
        <v>269</v>
      </c>
      <c r="CA100" s="141">
        <f ca="1">CA94</f>
        <v>27</v>
      </c>
      <c r="CB100" s="141">
        <f ca="1">IF((CB94-CA94)&lt;0,0,CB94-CA94)</f>
        <v>0</v>
      </c>
      <c r="CC100" s="141">
        <f t="shared" ref="CC100:CL100" ca="1" si="94">IF((CC94-CB94)&lt;0,0,CC94-CB94)</f>
        <v>0</v>
      </c>
      <c r="CD100" s="141">
        <f t="shared" ca="1" si="94"/>
        <v>0</v>
      </c>
      <c r="CE100" s="141">
        <f t="shared" ca="1" si="94"/>
        <v>0</v>
      </c>
      <c r="CF100" s="141">
        <f t="shared" ca="1" si="94"/>
        <v>0</v>
      </c>
      <c r="CG100" s="141">
        <f t="shared" ca="1" si="94"/>
        <v>0</v>
      </c>
      <c r="CH100" s="141">
        <f t="shared" ca="1" si="94"/>
        <v>0</v>
      </c>
      <c r="CI100" s="141">
        <f t="shared" ca="1" si="94"/>
        <v>0</v>
      </c>
      <c r="CJ100" s="141">
        <f t="shared" ca="1" si="94"/>
        <v>0</v>
      </c>
      <c r="CK100" s="141">
        <f t="shared" ca="1" si="94"/>
        <v>0</v>
      </c>
      <c r="CL100" s="141">
        <f t="shared" ca="1" si="94"/>
        <v>0</v>
      </c>
      <c r="CM100" s="142">
        <f t="shared" ref="CM100:CM105" ca="1" si="95">SUM(CA100:CL100)</f>
        <v>27</v>
      </c>
      <c r="CN100" s="108"/>
      <c r="CO100" s="108"/>
      <c r="CP100" s="108"/>
      <c r="CQ100" s="108"/>
    </row>
    <row r="101" spans="8:95" ht="15.75">
      <c r="H101" s="1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37" t="s">
        <v>338</v>
      </c>
      <c r="BZ101" s="108"/>
      <c r="CA101" s="141">
        <f ca="1">CA97</f>
        <v>22</v>
      </c>
      <c r="CB101" s="141">
        <f ca="1">IF((CB97-CA97)&lt;0,0,CB97-CA97)</f>
        <v>0</v>
      </c>
      <c r="CC101" s="141">
        <f t="shared" ref="CC101:CL101" ca="1" si="96">IF((CC97-CB97)&lt;0,0,CC97-CB97)</f>
        <v>0</v>
      </c>
      <c r="CD101" s="141">
        <f t="shared" ca="1" si="96"/>
        <v>0</v>
      </c>
      <c r="CE101" s="141">
        <f t="shared" ca="1" si="96"/>
        <v>0</v>
      </c>
      <c r="CF101" s="141">
        <f t="shared" ca="1" si="96"/>
        <v>0</v>
      </c>
      <c r="CG101" s="141">
        <f t="shared" ca="1" si="96"/>
        <v>0</v>
      </c>
      <c r="CH101" s="141">
        <f t="shared" ca="1" si="96"/>
        <v>0</v>
      </c>
      <c r="CI101" s="141">
        <f t="shared" ca="1" si="96"/>
        <v>0</v>
      </c>
      <c r="CJ101" s="141">
        <f t="shared" ca="1" si="96"/>
        <v>0</v>
      </c>
      <c r="CK101" s="141">
        <f t="shared" ca="1" si="96"/>
        <v>0</v>
      </c>
      <c r="CL101" s="141">
        <f t="shared" ca="1" si="96"/>
        <v>0</v>
      </c>
      <c r="CM101" s="142">
        <f t="shared" ca="1" si="95"/>
        <v>22</v>
      </c>
      <c r="CN101" s="108"/>
      <c r="CO101" s="108"/>
      <c r="CP101" s="108"/>
      <c r="CQ101" s="108"/>
    </row>
    <row r="102" spans="8:95" ht="15.75">
      <c r="H102" s="1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38" t="s">
        <v>339</v>
      </c>
      <c r="BZ102" s="108"/>
      <c r="CA102" s="141">
        <f ca="1">CA95</f>
        <v>66</v>
      </c>
      <c r="CB102" s="141">
        <f ca="1">IF((CB95-CA95)&lt;0,0,CB95-CA95)</f>
        <v>0</v>
      </c>
      <c r="CC102" s="141">
        <f t="shared" ref="CC102:CL102" ca="1" si="97">IF((CC95-CB95)&lt;0,0,CC95-CB95)</f>
        <v>0</v>
      </c>
      <c r="CD102" s="141">
        <f t="shared" ca="1" si="97"/>
        <v>0</v>
      </c>
      <c r="CE102" s="141">
        <f t="shared" ca="1" si="97"/>
        <v>0</v>
      </c>
      <c r="CF102" s="141">
        <f t="shared" ca="1" si="97"/>
        <v>0</v>
      </c>
      <c r="CG102" s="141">
        <f t="shared" ca="1" si="97"/>
        <v>0</v>
      </c>
      <c r="CH102" s="141">
        <f t="shared" ca="1" si="97"/>
        <v>0</v>
      </c>
      <c r="CI102" s="141">
        <f t="shared" ca="1" si="97"/>
        <v>0</v>
      </c>
      <c r="CJ102" s="141">
        <f t="shared" ca="1" si="97"/>
        <v>0</v>
      </c>
      <c r="CK102" s="141">
        <f t="shared" ca="1" si="97"/>
        <v>0</v>
      </c>
      <c r="CL102" s="141">
        <f t="shared" ca="1" si="97"/>
        <v>0</v>
      </c>
      <c r="CM102" s="142">
        <f t="shared" ca="1" si="95"/>
        <v>66</v>
      </c>
      <c r="CN102" s="108"/>
      <c r="CO102" s="108"/>
      <c r="CP102" s="108"/>
      <c r="CQ102" s="108"/>
    </row>
    <row r="103" spans="8:95" ht="15.75">
      <c r="H103" s="1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36" t="s">
        <v>337</v>
      </c>
      <c r="BZ103" s="108" t="s">
        <v>268</v>
      </c>
      <c r="CA103" s="141">
        <f ca="1">CA98</f>
        <v>74</v>
      </c>
      <c r="CB103" s="141">
        <f ca="1">IF((CB98-CA98)&lt;0,0,CB98-CA98)</f>
        <v>0</v>
      </c>
      <c r="CC103" s="141">
        <f t="shared" ref="CC103:CL103" ca="1" si="98">IF((CC98-CB98)&lt;0,0,CC98-CB98)</f>
        <v>0</v>
      </c>
      <c r="CD103" s="141">
        <f t="shared" ca="1" si="98"/>
        <v>0</v>
      </c>
      <c r="CE103" s="141">
        <f t="shared" ca="1" si="98"/>
        <v>0</v>
      </c>
      <c r="CF103" s="141">
        <f t="shared" ca="1" si="98"/>
        <v>0</v>
      </c>
      <c r="CG103" s="141">
        <f t="shared" ca="1" si="98"/>
        <v>0</v>
      </c>
      <c r="CH103" s="141">
        <f t="shared" ca="1" si="98"/>
        <v>0</v>
      </c>
      <c r="CI103" s="141">
        <f t="shared" ca="1" si="98"/>
        <v>0</v>
      </c>
      <c r="CJ103" s="141">
        <f t="shared" ca="1" si="98"/>
        <v>0</v>
      </c>
      <c r="CK103" s="141">
        <f t="shared" ca="1" si="98"/>
        <v>0</v>
      </c>
      <c r="CL103" s="141">
        <f t="shared" ca="1" si="98"/>
        <v>0</v>
      </c>
      <c r="CM103" s="142">
        <f t="shared" ca="1" si="95"/>
        <v>74</v>
      </c>
      <c r="CN103" s="108"/>
      <c r="CO103" s="108"/>
      <c r="CP103" s="108"/>
      <c r="CQ103" s="108"/>
    </row>
    <row r="104" spans="8:95" ht="15.75">
      <c r="H104" s="1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37" t="s">
        <v>338</v>
      </c>
      <c r="BZ104" s="108"/>
      <c r="CA104" s="141">
        <f ca="1">CA96</f>
        <v>11</v>
      </c>
      <c r="CB104" s="141">
        <f ca="1">IF((CB96-CA96)&lt;0,0,CB96-CA96)</f>
        <v>0</v>
      </c>
      <c r="CC104" s="141">
        <f t="shared" ref="CC104:CL104" ca="1" si="99">IF((CC96-CB96)&lt;0,0,CC96-CB96)</f>
        <v>0</v>
      </c>
      <c r="CD104" s="141">
        <f t="shared" ca="1" si="99"/>
        <v>0</v>
      </c>
      <c r="CE104" s="141">
        <f t="shared" ca="1" si="99"/>
        <v>0</v>
      </c>
      <c r="CF104" s="141">
        <f t="shared" ca="1" si="99"/>
        <v>0</v>
      </c>
      <c r="CG104" s="141">
        <f t="shared" ca="1" si="99"/>
        <v>0</v>
      </c>
      <c r="CH104" s="141">
        <f t="shared" ca="1" si="99"/>
        <v>0</v>
      </c>
      <c r="CI104" s="141">
        <f t="shared" ca="1" si="99"/>
        <v>0</v>
      </c>
      <c r="CJ104" s="141">
        <f t="shared" ca="1" si="99"/>
        <v>0</v>
      </c>
      <c r="CK104" s="141">
        <f t="shared" ca="1" si="99"/>
        <v>0</v>
      </c>
      <c r="CL104" s="141">
        <f t="shared" ca="1" si="99"/>
        <v>0</v>
      </c>
      <c r="CM104" s="142">
        <f t="shared" ca="1" si="95"/>
        <v>11</v>
      </c>
      <c r="CN104" s="108"/>
      <c r="CO104" s="108"/>
      <c r="CP104" s="108"/>
      <c r="CQ104" s="108"/>
    </row>
    <row r="105" spans="8:95" ht="15.75">
      <c r="H105" s="1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38" t="s">
        <v>339</v>
      </c>
      <c r="BZ105" s="108"/>
      <c r="CA105" s="141">
        <f ca="1">CA99</f>
        <v>12</v>
      </c>
      <c r="CB105" s="141">
        <f ca="1">IF((CB99-CA99)&lt;0,0,CB99-CA99)</f>
        <v>0</v>
      </c>
      <c r="CC105" s="141">
        <f t="shared" ref="CC105:CL105" ca="1" si="100">IF((CC99-CB99)&lt;0,0,CC99-CB99)</f>
        <v>0</v>
      </c>
      <c r="CD105" s="141">
        <f t="shared" ca="1" si="100"/>
        <v>0</v>
      </c>
      <c r="CE105" s="141">
        <f t="shared" ca="1" si="100"/>
        <v>0</v>
      </c>
      <c r="CF105" s="141">
        <f t="shared" ca="1" si="100"/>
        <v>0</v>
      </c>
      <c r="CG105" s="141">
        <f t="shared" ca="1" si="100"/>
        <v>0</v>
      </c>
      <c r="CH105" s="141">
        <f t="shared" ca="1" si="100"/>
        <v>0</v>
      </c>
      <c r="CI105" s="141">
        <f t="shared" ca="1" si="100"/>
        <v>0</v>
      </c>
      <c r="CJ105" s="141">
        <f t="shared" ca="1" si="100"/>
        <v>0</v>
      </c>
      <c r="CK105" s="141">
        <f t="shared" ca="1" si="100"/>
        <v>0</v>
      </c>
      <c r="CL105" s="141">
        <f t="shared" ca="1" si="100"/>
        <v>0</v>
      </c>
      <c r="CM105" s="142">
        <f t="shared" ca="1" si="95"/>
        <v>12</v>
      </c>
      <c r="CN105" s="108"/>
      <c r="CO105" s="108"/>
      <c r="CP105" s="108"/>
      <c r="CQ105" s="108"/>
    </row>
    <row r="106" spans="8:95" ht="15.75">
      <c r="H106" s="1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3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</row>
    <row r="107" spans="8:95"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</row>
    <row r="108" spans="8:95"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</row>
    <row r="109" spans="8:95"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</row>
    <row r="110" spans="8:95"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</row>
    <row r="111" spans="8:95"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 t="s">
        <v>504</v>
      </c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</row>
    <row r="112" spans="8:95"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</row>
    <row r="113" spans="18:95" ht="15.75"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79" t="s">
        <v>35</v>
      </c>
      <c r="BZ113" s="79">
        <f ca="1">IF(CL113&lt;&gt;0,CL113,IF(CK113&lt;&gt;0,CK113,IF(CJ113&lt;&gt;0,CJ113,IF(CI113&lt;&gt;0,CI113,IF(CH113&lt;&gt;0,CH113,IF(CG113&lt;&gt;0,CG113,IF(CF113&lt;&gt;0,CF113,IF(CE113&lt;&gt;0,CE113,IF(CD113&lt;&gt;0,CD113,IF(CC113&lt;&gt;0,CC113,IF(CB113&lt;&gt;0,CB113,IF(CA113&lt;&gt;0,CA113,0))))))))))))</f>
        <v>3565</v>
      </c>
      <c r="CA113" s="141">
        <f ca="1">CA27</f>
        <v>3565</v>
      </c>
      <c r="CB113" s="141">
        <f t="shared" ref="CB113:CL113" ca="1" si="101">CB27</f>
        <v>0</v>
      </c>
      <c r="CC113" s="141">
        <f t="shared" ca="1" si="101"/>
        <v>0</v>
      </c>
      <c r="CD113" s="141">
        <f t="shared" ca="1" si="101"/>
        <v>0</v>
      </c>
      <c r="CE113" s="141">
        <f t="shared" ca="1" si="101"/>
        <v>0</v>
      </c>
      <c r="CF113" s="141">
        <f t="shared" ca="1" si="101"/>
        <v>0</v>
      </c>
      <c r="CG113" s="141">
        <f t="shared" ca="1" si="101"/>
        <v>0</v>
      </c>
      <c r="CH113" s="141">
        <f t="shared" ca="1" si="101"/>
        <v>0</v>
      </c>
      <c r="CI113" s="141">
        <f t="shared" ca="1" si="101"/>
        <v>0</v>
      </c>
      <c r="CJ113" s="141">
        <f t="shared" ca="1" si="101"/>
        <v>0</v>
      </c>
      <c r="CK113" s="141">
        <f t="shared" ca="1" si="101"/>
        <v>0</v>
      </c>
      <c r="CL113" s="141">
        <f t="shared" ca="1" si="101"/>
        <v>0</v>
      </c>
      <c r="CM113" s="108"/>
      <c r="CN113" s="108"/>
      <c r="CO113" s="108"/>
      <c r="CP113" s="108"/>
      <c r="CQ113" s="108"/>
    </row>
    <row r="114" spans="18:95" ht="15.75"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43" t="s">
        <v>351</v>
      </c>
      <c r="BZ114" s="79">
        <f t="shared" ref="BZ114:BZ124" ca="1" si="102">IF(CL114&lt;&gt;0,CL114,IF(CK114&lt;&gt;0,CK114,IF(CJ114&lt;&gt;0,CJ114,IF(CI114&lt;&gt;0,CI114,IF(CH114&lt;&gt;0,CH114,IF(CG114&lt;&gt;0,CG114,IF(CF114&lt;&gt;0,CF114,IF(CE114&lt;&gt;0,CE114,IF(CD114&lt;&gt;0,CD114,IF(CC114&lt;&gt;0,CC114,IF(CB114&lt;&gt;0,CB114,IF(CA114&lt;&gt;0,CA114,0))))))))))))</f>
        <v>27</v>
      </c>
      <c r="CA114" s="141">
        <f ca="1">CA31</f>
        <v>27</v>
      </c>
      <c r="CB114" s="141">
        <f t="shared" ref="CB114:CL114" ca="1" si="103">CB31</f>
        <v>0</v>
      </c>
      <c r="CC114" s="141">
        <f t="shared" ca="1" si="103"/>
        <v>0</v>
      </c>
      <c r="CD114" s="141">
        <f t="shared" ca="1" si="103"/>
        <v>0</v>
      </c>
      <c r="CE114" s="141">
        <f t="shared" ca="1" si="103"/>
        <v>0</v>
      </c>
      <c r="CF114" s="141">
        <f t="shared" ca="1" si="103"/>
        <v>0</v>
      </c>
      <c r="CG114" s="141">
        <f t="shared" ca="1" si="103"/>
        <v>0</v>
      </c>
      <c r="CH114" s="141">
        <f t="shared" ca="1" si="103"/>
        <v>0</v>
      </c>
      <c r="CI114" s="141">
        <f t="shared" ca="1" si="103"/>
        <v>0</v>
      </c>
      <c r="CJ114" s="141">
        <f t="shared" ca="1" si="103"/>
        <v>0</v>
      </c>
      <c r="CK114" s="141">
        <f t="shared" ca="1" si="103"/>
        <v>0</v>
      </c>
      <c r="CL114" s="141">
        <f t="shared" ca="1" si="103"/>
        <v>0</v>
      </c>
      <c r="CM114" s="108"/>
      <c r="CN114" s="108"/>
      <c r="CO114" s="108"/>
      <c r="CP114" s="108"/>
      <c r="CQ114" s="108"/>
    </row>
    <row r="115" spans="18:95" ht="15.75"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79" t="s">
        <v>352</v>
      </c>
      <c r="BZ115" s="79">
        <f t="shared" ca="1" si="102"/>
        <v>66</v>
      </c>
      <c r="CA115" s="141">
        <f ca="1">CA33</f>
        <v>66</v>
      </c>
      <c r="CB115" s="141">
        <f t="shared" ref="CB115:CL115" ca="1" si="104">CB33</f>
        <v>0</v>
      </c>
      <c r="CC115" s="141">
        <f t="shared" ca="1" si="104"/>
        <v>0</v>
      </c>
      <c r="CD115" s="141">
        <f t="shared" ca="1" si="104"/>
        <v>0</v>
      </c>
      <c r="CE115" s="141">
        <f t="shared" ca="1" si="104"/>
        <v>0</v>
      </c>
      <c r="CF115" s="141">
        <f t="shared" ca="1" si="104"/>
        <v>0</v>
      </c>
      <c r="CG115" s="141">
        <f t="shared" ca="1" si="104"/>
        <v>0</v>
      </c>
      <c r="CH115" s="141">
        <f t="shared" ca="1" si="104"/>
        <v>0</v>
      </c>
      <c r="CI115" s="141">
        <f t="shared" ca="1" si="104"/>
        <v>0</v>
      </c>
      <c r="CJ115" s="141">
        <f t="shared" ca="1" si="104"/>
        <v>0</v>
      </c>
      <c r="CK115" s="141">
        <f t="shared" ca="1" si="104"/>
        <v>0</v>
      </c>
      <c r="CL115" s="141">
        <f t="shared" ca="1" si="104"/>
        <v>0</v>
      </c>
      <c r="CM115" s="108"/>
      <c r="CN115" s="108"/>
      <c r="CO115" s="108"/>
      <c r="CP115" s="108"/>
      <c r="CQ115" s="108"/>
    </row>
    <row r="116" spans="18:95" ht="15.75"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79" t="s">
        <v>344</v>
      </c>
      <c r="BZ116" s="79">
        <f t="shared" ca="1" si="102"/>
        <v>2</v>
      </c>
      <c r="CA116" s="141">
        <f t="shared" ref="CA116:CK116" ca="1" si="105">CA37</f>
        <v>2</v>
      </c>
      <c r="CB116" s="141">
        <f t="shared" ca="1" si="105"/>
        <v>0</v>
      </c>
      <c r="CC116" s="141">
        <f t="shared" ca="1" si="105"/>
        <v>0</v>
      </c>
      <c r="CD116" s="141">
        <f t="shared" ca="1" si="105"/>
        <v>0</v>
      </c>
      <c r="CE116" s="141">
        <f t="shared" ca="1" si="105"/>
        <v>0</v>
      </c>
      <c r="CF116" s="141">
        <f t="shared" ca="1" si="105"/>
        <v>0</v>
      </c>
      <c r="CG116" s="141">
        <f t="shared" ca="1" si="105"/>
        <v>0</v>
      </c>
      <c r="CH116" s="141">
        <f t="shared" ca="1" si="105"/>
        <v>0</v>
      </c>
      <c r="CI116" s="141">
        <f t="shared" ca="1" si="105"/>
        <v>0</v>
      </c>
      <c r="CJ116" s="141">
        <f t="shared" ca="1" si="105"/>
        <v>0</v>
      </c>
      <c r="CK116" s="141">
        <f t="shared" ca="1" si="105"/>
        <v>0</v>
      </c>
      <c r="CL116" s="141">
        <f ca="1">CL37</f>
        <v>0</v>
      </c>
      <c r="CM116" s="108"/>
      <c r="CN116" s="108"/>
      <c r="CO116" s="108"/>
      <c r="CP116" s="108"/>
      <c r="CQ116" s="108"/>
    </row>
    <row r="117" spans="18:95" ht="15.75"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44" t="s">
        <v>345</v>
      </c>
      <c r="BZ117" s="79">
        <f t="shared" ca="1" si="102"/>
        <v>1421</v>
      </c>
      <c r="CA117" s="141">
        <f ca="1">CA39</f>
        <v>1421</v>
      </c>
      <c r="CB117" s="141">
        <f t="shared" ref="CB117:CL117" ca="1" si="106">CB39</f>
        <v>0</v>
      </c>
      <c r="CC117" s="141">
        <f t="shared" ca="1" si="106"/>
        <v>0</v>
      </c>
      <c r="CD117" s="141">
        <f t="shared" ca="1" si="106"/>
        <v>0</v>
      </c>
      <c r="CE117" s="141">
        <f t="shared" ca="1" si="106"/>
        <v>0</v>
      </c>
      <c r="CF117" s="141">
        <f t="shared" ca="1" si="106"/>
        <v>0</v>
      </c>
      <c r="CG117" s="141">
        <f t="shared" ca="1" si="106"/>
        <v>0</v>
      </c>
      <c r="CH117" s="141">
        <f t="shared" ca="1" si="106"/>
        <v>0</v>
      </c>
      <c r="CI117" s="141">
        <f t="shared" ca="1" si="106"/>
        <v>0</v>
      </c>
      <c r="CJ117" s="141">
        <f t="shared" ca="1" si="106"/>
        <v>0</v>
      </c>
      <c r="CK117" s="141">
        <f t="shared" ca="1" si="106"/>
        <v>0</v>
      </c>
      <c r="CL117" s="141">
        <f t="shared" ca="1" si="106"/>
        <v>0</v>
      </c>
      <c r="CM117" s="108"/>
      <c r="CN117" s="108"/>
      <c r="CO117" s="108"/>
      <c r="CP117" s="108"/>
      <c r="CQ117" s="108"/>
    </row>
    <row r="118" spans="18:95" ht="15.75"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44" t="s">
        <v>346</v>
      </c>
      <c r="BZ118" s="79">
        <f t="shared" ca="1" si="102"/>
        <v>84</v>
      </c>
      <c r="CA118" s="141">
        <f ca="1">CA43</f>
        <v>84</v>
      </c>
      <c r="CB118" s="141">
        <f t="shared" ref="CB118:CL118" ca="1" si="107">CB43</f>
        <v>0</v>
      </c>
      <c r="CC118" s="141">
        <f t="shared" ca="1" si="107"/>
        <v>0</v>
      </c>
      <c r="CD118" s="141">
        <f t="shared" ca="1" si="107"/>
        <v>0</v>
      </c>
      <c r="CE118" s="141">
        <f t="shared" ca="1" si="107"/>
        <v>0</v>
      </c>
      <c r="CF118" s="141">
        <f t="shared" ca="1" si="107"/>
        <v>0</v>
      </c>
      <c r="CG118" s="141">
        <f t="shared" ca="1" si="107"/>
        <v>0</v>
      </c>
      <c r="CH118" s="141">
        <f t="shared" ca="1" si="107"/>
        <v>0</v>
      </c>
      <c r="CI118" s="141">
        <f t="shared" ca="1" si="107"/>
        <v>0</v>
      </c>
      <c r="CJ118" s="141">
        <f t="shared" ca="1" si="107"/>
        <v>0</v>
      </c>
      <c r="CK118" s="141">
        <f t="shared" ca="1" si="107"/>
        <v>0</v>
      </c>
      <c r="CL118" s="141">
        <f t="shared" ca="1" si="107"/>
        <v>0</v>
      </c>
      <c r="CM118" s="108"/>
      <c r="CN118" s="108"/>
      <c r="CO118" s="108"/>
      <c r="CP118" s="108"/>
      <c r="CQ118" s="108"/>
    </row>
    <row r="119" spans="18:95" ht="15.75"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79" t="s">
        <v>347</v>
      </c>
      <c r="BZ119" s="79">
        <f t="shared" ca="1" si="102"/>
        <v>16</v>
      </c>
      <c r="CA119" s="141">
        <f ca="1">CA45</f>
        <v>16</v>
      </c>
      <c r="CB119" s="141">
        <f t="shared" ref="CB119:CL119" ca="1" si="108">CB45</f>
        <v>0</v>
      </c>
      <c r="CC119" s="141">
        <f t="shared" ca="1" si="108"/>
        <v>0</v>
      </c>
      <c r="CD119" s="141">
        <f t="shared" ca="1" si="108"/>
        <v>0</v>
      </c>
      <c r="CE119" s="141">
        <f t="shared" ca="1" si="108"/>
        <v>0</v>
      </c>
      <c r="CF119" s="141">
        <f t="shared" ca="1" si="108"/>
        <v>0</v>
      </c>
      <c r="CG119" s="141">
        <f t="shared" ca="1" si="108"/>
        <v>0</v>
      </c>
      <c r="CH119" s="141">
        <f t="shared" ca="1" si="108"/>
        <v>0</v>
      </c>
      <c r="CI119" s="141">
        <f t="shared" ca="1" si="108"/>
        <v>0</v>
      </c>
      <c r="CJ119" s="141">
        <f t="shared" ca="1" si="108"/>
        <v>0</v>
      </c>
      <c r="CK119" s="141">
        <f t="shared" ca="1" si="108"/>
        <v>0</v>
      </c>
      <c r="CL119" s="141">
        <f t="shared" ca="1" si="108"/>
        <v>0</v>
      </c>
      <c r="CM119" s="108"/>
      <c r="CN119" s="108"/>
      <c r="CO119" s="108"/>
      <c r="CP119" s="108"/>
      <c r="CQ119" s="108"/>
    </row>
    <row r="120" spans="18:95" ht="15.75"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44" t="s">
        <v>348</v>
      </c>
      <c r="BZ120" s="79">
        <f t="shared" ca="1" si="102"/>
        <v>0</v>
      </c>
      <c r="CA120" s="141">
        <f ca="1">CA47</f>
        <v>0</v>
      </c>
      <c r="CB120" s="141">
        <f t="shared" ref="CB120:CL120" ca="1" si="109">CB47</f>
        <v>0</v>
      </c>
      <c r="CC120" s="141">
        <f t="shared" ca="1" si="109"/>
        <v>0</v>
      </c>
      <c r="CD120" s="141">
        <f t="shared" ca="1" si="109"/>
        <v>0</v>
      </c>
      <c r="CE120" s="141">
        <f t="shared" ca="1" si="109"/>
        <v>0</v>
      </c>
      <c r="CF120" s="141">
        <f t="shared" ca="1" si="109"/>
        <v>0</v>
      </c>
      <c r="CG120" s="141">
        <f t="shared" ca="1" si="109"/>
        <v>0</v>
      </c>
      <c r="CH120" s="141">
        <f t="shared" ca="1" si="109"/>
        <v>0</v>
      </c>
      <c r="CI120" s="141">
        <f t="shared" ca="1" si="109"/>
        <v>0</v>
      </c>
      <c r="CJ120" s="141">
        <f t="shared" ca="1" si="109"/>
        <v>0</v>
      </c>
      <c r="CK120" s="141">
        <f t="shared" ca="1" si="109"/>
        <v>0</v>
      </c>
      <c r="CL120" s="141">
        <f t="shared" ca="1" si="109"/>
        <v>0</v>
      </c>
      <c r="CM120" s="108"/>
      <c r="CN120" s="108"/>
      <c r="CO120" s="108"/>
      <c r="CP120" s="108"/>
      <c r="CQ120" s="108"/>
    </row>
    <row r="121" spans="18:95" ht="15.75"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79" t="s">
        <v>349</v>
      </c>
      <c r="BZ121" s="79">
        <f t="shared" ca="1" si="102"/>
        <v>15</v>
      </c>
      <c r="CA121" s="141">
        <f ca="1">CA49</f>
        <v>15</v>
      </c>
      <c r="CB121" s="141">
        <f t="shared" ref="CB121:CL121" ca="1" si="110">CB49</f>
        <v>0</v>
      </c>
      <c r="CC121" s="141">
        <f t="shared" ca="1" si="110"/>
        <v>0</v>
      </c>
      <c r="CD121" s="141">
        <f t="shared" ca="1" si="110"/>
        <v>0</v>
      </c>
      <c r="CE121" s="141">
        <f t="shared" ca="1" si="110"/>
        <v>0</v>
      </c>
      <c r="CF121" s="141">
        <f t="shared" ca="1" si="110"/>
        <v>0</v>
      </c>
      <c r="CG121" s="141">
        <f t="shared" ca="1" si="110"/>
        <v>0</v>
      </c>
      <c r="CH121" s="141">
        <f t="shared" ca="1" si="110"/>
        <v>0</v>
      </c>
      <c r="CI121" s="141">
        <f t="shared" ca="1" si="110"/>
        <v>0</v>
      </c>
      <c r="CJ121" s="141">
        <f t="shared" ca="1" si="110"/>
        <v>0</v>
      </c>
      <c r="CK121" s="141">
        <f t="shared" ca="1" si="110"/>
        <v>0</v>
      </c>
      <c r="CL121" s="141">
        <f t="shared" ca="1" si="110"/>
        <v>0</v>
      </c>
      <c r="CM121" s="108"/>
      <c r="CN121" s="108"/>
      <c r="CO121" s="108"/>
      <c r="CP121" s="108"/>
      <c r="CQ121" s="108"/>
    </row>
    <row r="122" spans="18:95" ht="15.75"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44" t="s">
        <v>353</v>
      </c>
      <c r="BZ122" s="79">
        <f t="shared" ca="1" si="102"/>
        <v>300</v>
      </c>
      <c r="CA122" s="141">
        <f ca="1">CA51</f>
        <v>300</v>
      </c>
      <c r="CB122" s="141">
        <f t="shared" ref="CB122:CL122" ca="1" si="111">CB51</f>
        <v>0</v>
      </c>
      <c r="CC122" s="141">
        <f t="shared" ca="1" si="111"/>
        <v>0</v>
      </c>
      <c r="CD122" s="141">
        <f t="shared" ca="1" si="111"/>
        <v>0</v>
      </c>
      <c r="CE122" s="141">
        <f t="shared" ca="1" si="111"/>
        <v>0</v>
      </c>
      <c r="CF122" s="141">
        <f t="shared" ca="1" si="111"/>
        <v>0</v>
      </c>
      <c r="CG122" s="141">
        <f t="shared" ca="1" si="111"/>
        <v>0</v>
      </c>
      <c r="CH122" s="141">
        <f t="shared" ca="1" si="111"/>
        <v>0</v>
      </c>
      <c r="CI122" s="141">
        <f t="shared" ca="1" si="111"/>
        <v>0</v>
      </c>
      <c r="CJ122" s="141">
        <f t="shared" ca="1" si="111"/>
        <v>0</v>
      </c>
      <c r="CK122" s="141">
        <f t="shared" ca="1" si="111"/>
        <v>0</v>
      </c>
      <c r="CL122" s="141">
        <f t="shared" ca="1" si="111"/>
        <v>0</v>
      </c>
      <c r="CM122" s="108"/>
      <c r="CN122" s="108"/>
      <c r="CO122" s="108"/>
      <c r="CP122" s="108"/>
      <c r="CQ122" s="108"/>
    </row>
    <row r="123" spans="18:95" ht="15.75"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79" t="s">
        <v>343</v>
      </c>
      <c r="BZ123" s="79">
        <f t="shared" ca="1" si="102"/>
        <v>17</v>
      </c>
      <c r="CA123" s="141">
        <f ca="1">CA53</f>
        <v>17</v>
      </c>
      <c r="CB123" s="141">
        <f t="shared" ref="CB123:CL123" ca="1" si="112">CB53</f>
        <v>0</v>
      </c>
      <c r="CC123" s="141">
        <f t="shared" ca="1" si="112"/>
        <v>0</v>
      </c>
      <c r="CD123" s="141">
        <f t="shared" ca="1" si="112"/>
        <v>0</v>
      </c>
      <c r="CE123" s="141">
        <f t="shared" ca="1" si="112"/>
        <v>0</v>
      </c>
      <c r="CF123" s="141">
        <f t="shared" ca="1" si="112"/>
        <v>0</v>
      </c>
      <c r="CG123" s="141">
        <f t="shared" ca="1" si="112"/>
        <v>0</v>
      </c>
      <c r="CH123" s="141">
        <f t="shared" ca="1" si="112"/>
        <v>0</v>
      </c>
      <c r="CI123" s="141">
        <f t="shared" ca="1" si="112"/>
        <v>0</v>
      </c>
      <c r="CJ123" s="141">
        <f t="shared" ca="1" si="112"/>
        <v>0</v>
      </c>
      <c r="CK123" s="141">
        <f t="shared" ca="1" si="112"/>
        <v>0</v>
      </c>
      <c r="CL123" s="141">
        <f t="shared" ca="1" si="112"/>
        <v>0</v>
      </c>
      <c r="CM123" s="108"/>
      <c r="CN123" s="108"/>
      <c r="CO123" s="108"/>
      <c r="CP123" s="108"/>
      <c r="CQ123" s="108"/>
    </row>
    <row r="124" spans="18:95" ht="15.75"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79" t="s">
        <v>354</v>
      </c>
      <c r="BZ124" s="79">
        <f t="shared" ca="1" si="102"/>
        <v>129</v>
      </c>
      <c r="CA124" s="141">
        <f ca="1">CA57</f>
        <v>129</v>
      </c>
      <c r="CB124" s="141">
        <f t="shared" ref="CB124:CL124" ca="1" si="113">CB57</f>
        <v>0</v>
      </c>
      <c r="CC124" s="141">
        <f t="shared" ca="1" si="113"/>
        <v>0</v>
      </c>
      <c r="CD124" s="141">
        <f t="shared" ca="1" si="113"/>
        <v>0</v>
      </c>
      <c r="CE124" s="141">
        <f t="shared" ca="1" si="113"/>
        <v>0</v>
      </c>
      <c r="CF124" s="141">
        <f t="shared" ca="1" si="113"/>
        <v>0</v>
      </c>
      <c r="CG124" s="141">
        <f t="shared" ca="1" si="113"/>
        <v>0</v>
      </c>
      <c r="CH124" s="141">
        <f t="shared" ca="1" si="113"/>
        <v>0</v>
      </c>
      <c r="CI124" s="141">
        <f t="shared" ca="1" si="113"/>
        <v>0</v>
      </c>
      <c r="CJ124" s="141">
        <f t="shared" ca="1" si="113"/>
        <v>0</v>
      </c>
      <c r="CK124" s="141">
        <f t="shared" ca="1" si="113"/>
        <v>0</v>
      </c>
      <c r="CL124" s="141">
        <f t="shared" ca="1" si="113"/>
        <v>0</v>
      </c>
      <c r="CM124" s="108"/>
      <c r="CN124" s="108"/>
      <c r="CO124" s="108"/>
      <c r="CP124" s="108"/>
      <c r="CQ124" s="108"/>
    </row>
    <row r="125" spans="18:95" ht="15.75"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79" t="s">
        <v>350</v>
      </c>
      <c r="BZ125" s="79">
        <f ca="1">BZ113-SUM(BZ114:BZ124)</f>
        <v>1488</v>
      </c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</row>
    <row r="126" spans="18:95"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40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</row>
    <row r="127" spans="18:95"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</row>
    <row r="128" spans="18:95"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</row>
    <row r="129" spans="18:95"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</row>
    <row r="130" spans="18:95"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</row>
    <row r="131" spans="18:95"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</row>
    <row r="132" spans="18:95"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</row>
    <row r="133" spans="18:95"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</row>
    <row r="134" spans="18:95"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</row>
    <row r="135" spans="18:95"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</row>
    <row r="136" spans="18:95"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</row>
    <row r="137" spans="18:95"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</row>
    <row r="138" spans="18:95"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</row>
    <row r="139" spans="18:95"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</row>
    <row r="140" spans="18:95"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</row>
    <row r="141" spans="18:95"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</row>
    <row r="142" spans="18:95"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</row>
    <row r="143" spans="18:95"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</row>
    <row r="144" spans="18:95"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</row>
    <row r="145" spans="18:95"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</row>
    <row r="146" spans="18:95"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</row>
    <row r="147" spans="18:95"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</row>
    <row r="148" spans="18:95"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</row>
    <row r="149" spans="18:95"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</row>
    <row r="150" spans="18:95"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</row>
    <row r="151" spans="18:95"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</row>
    <row r="152" spans="18:95"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</row>
    <row r="153" spans="18:95"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</row>
    <row r="154" spans="18:95"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</row>
    <row r="155" spans="18:95"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</row>
    <row r="156" spans="18:95"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</row>
    <row r="157" spans="18:95"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</row>
    <row r="158" spans="18:95"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</row>
    <row r="159" spans="18:95"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</row>
    <row r="160" spans="18:95"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</row>
    <row r="161" spans="18:95"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</row>
    <row r="162" spans="18:95"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</row>
    <row r="163" spans="18:95"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</row>
    <row r="164" spans="18:95"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</row>
    <row r="165" spans="18:95"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</row>
    <row r="166" spans="18:95"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</row>
    <row r="167" spans="18:95"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</row>
    <row r="168" spans="18:95"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</row>
  </sheetData>
  <mergeCells count="14">
    <mergeCell ref="Q4:Y4"/>
    <mergeCell ref="H23:P24"/>
    <mergeCell ref="H20:P21"/>
    <mergeCell ref="D3:E3"/>
    <mergeCell ref="H37:P37"/>
    <mergeCell ref="H17:P18"/>
    <mergeCell ref="H29:P29"/>
    <mergeCell ref="H5:P6"/>
    <mergeCell ref="Q89:Y90"/>
    <mergeCell ref="Q71:Y72"/>
    <mergeCell ref="H57:P58"/>
    <mergeCell ref="H75:P76"/>
    <mergeCell ref="Q56:Y57"/>
    <mergeCell ref="Q74:Y75"/>
  </mergeCells>
  <dataValidations count="1">
    <dataValidation type="list" allowBlank="1" showInputMessage="1" showErrorMessage="1" sqref="A2">
      <formula1>Справочник!B1:B63</formula1>
    </dataValidation>
  </dataValidations>
  <pageMargins left="0.70866141732283472" right="0.70866141732283472" top="0.31496062992125984" bottom="0.2755905511811023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U269"/>
  <sheetViews>
    <sheetView workbookViewId="0">
      <pane xSplit="2" ySplit="5" topLeftCell="C8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159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1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1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3"/>
      <c r="AC4" s="363"/>
      <c r="AD4" s="7" t="s">
        <v>0</v>
      </c>
      <c r="AE4" s="7" t="s">
        <v>236</v>
      </c>
      <c r="AF4" s="7" t="s">
        <v>0</v>
      </c>
      <c r="AG4" s="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1" s="6" customFormat="1">
      <c r="A5" s="367"/>
      <c r="B5" s="368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2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2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2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66"/>
      <c r="M10" s="264"/>
      <c r="N10" s="264"/>
      <c r="O10" s="264"/>
      <c r="P10" s="264"/>
      <c r="Q10" s="264"/>
      <c r="R10" s="66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264"/>
      <c r="BA10" s="264"/>
      <c r="BB10" s="264"/>
      <c r="BC10" s="264"/>
      <c r="BD10" s="264"/>
      <c r="BE10" s="264"/>
      <c r="BF10" s="264"/>
      <c r="BG10" s="264"/>
      <c r="BH10" s="66"/>
      <c r="BI10" s="264"/>
      <c r="BJ10" s="264"/>
      <c r="BK10" s="264"/>
      <c r="BL10" s="264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2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2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66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2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66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2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66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66"/>
      <c r="AQ16" s="264"/>
      <c r="AR16" s="264"/>
      <c r="AS16" s="264"/>
      <c r="AT16" s="264"/>
      <c r="AU16" s="66"/>
      <c r="AV16" s="264"/>
      <c r="AW16" s="66"/>
      <c r="AX16" s="264"/>
      <c r="AY16" s="264"/>
      <c r="AZ16" s="66"/>
      <c r="BA16" s="264"/>
      <c r="BB16" s="66"/>
      <c r="BC16" s="264"/>
      <c r="BD16" s="264"/>
      <c r="BE16" s="66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2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2" t="s">
        <v>1143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66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66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66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2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2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2" t="s">
        <v>1145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66"/>
      <c r="AQ22" s="264"/>
      <c r="AR22" s="264"/>
      <c r="AS22" s="264"/>
      <c r="AT22" s="66"/>
      <c r="AU22" s="264"/>
      <c r="AV22" s="264"/>
      <c r="AW22" s="264"/>
      <c r="AX22" s="264"/>
      <c r="AY22" s="264"/>
      <c r="AZ22" s="66"/>
      <c r="BA22" s="264"/>
      <c r="BB22" s="66"/>
      <c r="BC22" s="264"/>
      <c r="BD22" s="264"/>
      <c r="BE22" s="66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2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2" t="s">
        <v>1146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264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66"/>
      <c r="DJ25" s="264"/>
      <c r="DK25" s="264"/>
      <c r="DL25" s="264"/>
      <c r="DM25" s="264"/>
      <c r="DN25" s="264"/>
      <c r="DO25" s="264"/>
      <c r="DP25" s="264"/>
      <c r="DQ25" s="264"/>
      <c r="DR25" s="264"/>
      <c r="DS25" s="66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2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2" t="s">
        <v>465</v>
      </c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66"/>
      <c r="AX28" s="264"/>
      <c r="AY28" s="264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264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2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2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2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66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2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2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66"/>
      <c r="AQ34" s="264"/>
      <c r="AR34" s="264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66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2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2" t="s">
        <v>1152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66"/>
      <c r="AF37" s="264"/>
      <c r="AG37" s="66"/>
      <c r="AH37" s="264"/>
      <c r="AI37" s="264"/>
      <c r="AJ37" s="264"/>
      <c r="AK37" s="264"/>
      <c r="AL37" s="264"/>
      <c r="AM37" s="264"/>
      <c r="AN37" s="264"/>
      <c r="AO37" s="264"/>
      <c r="AP37" s="66"/>
      <c r="AQ37" s="264"/>
      <c r="AR37" s="264"/>
      <c r="AS37" s="264"/>
      <c r="AT37" s="264"/>
      <c r="AU37" s="264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2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2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66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66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2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66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2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66"/>
      <c r="Z43" s="264"/>
      <c r="AA43" s="66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66"/>
      <c r="AQ43" s="264"/>
      <c r="AR43" s="264"/>
      <c r="AS43" s="264"/>
      <c r="AT43" s="264"/>
      <c r="AU43" s="66"/>
      <c r="AV43" s="264"/>
      <c r="AW43" s="66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2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2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264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2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2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264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2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2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2" t="s">
        <v>1149</v>
      </c>
      <c r="C52" s="264"/>
      <c r="D52" s="264"/>
      <c r="E52" s="264"/>
      <c r="F52" s="264"/>
      <c r="G52" s="264"/>
      <c r="H52" s="264"/>
      <c r="I52" s="264"/>
      <c r="J52" s="66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66"/>
      <c r="AH52" s="264"/>
      <c r="AI52" s="264"/>
      <c r="AJ52" s="264"/>
      <c r="AK52" s="66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66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2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66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2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66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66"/>
      <c r="AL55" s="264"/>
      <c r="AM55" s="264"/>
      <c r="AN55" s="264"/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66"/>
      <c r="DZ55" s="264"/>
      <c r="EA55" s="66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2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66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66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264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264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2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264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264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66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66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2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66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2" t="s">
        <v>1166</v>
      </c>
      <c r="C64" s="264"/>
      <c r="D64" s="264"/>
      <c r="E64" s="264"/>
      <c r="F64" s="264"/>
      <c r="G64" s="264"/>
      <c r="H64" s="66"/>
      <c r="I64" s="264"/>
      <c r="J64" s="264"/>
      <c r="K64" s="264"/>
      <c r="L64" s="66"/>
      <c r="M64" s="264"/>
      <c r="N64" s="264"/>
      <c r="O64" s="264"/>
      <c r="P64" s="264"/>
      <c r="Q64" s="264"/>
      <c r="R64" s="66"/>
      <c r="S64" s="264"/>
      <c r="T64" s="264"/>
      <c r="U64" s="264"/>
      <c r="V64" s="264"/>
      <c r="W64" s="66"/>
      <c r="X64" s="264"/>
      <c r="Y64" s="66"/>
      <c r="Z64" s="264"/>
      <c r="AA64" s="264"/>
      <c r="AB64" s="264"/>
      <c r="AC64" s="264"/>
      <c r="AD64" s="264"/>
      <c r="AE64" s="66"/>
      <c r="AF64" s="264"/>
      <c r="AG64" s="66"/>
      <c r="AH64" s="264"/>
      <c r="AI64" s="66"/>
      <c r="AJ64" s="264"/>
      <c r="AK64" s="264"/>
      <c r="AL64" s="264"/>
      <c r="AM64" s="264"/>
      <c r="AN64" s="264"/>
      <c r="AO64" s="66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2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66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2" t="s">
        <v>1169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66"/>
      <c r="AV67" s="264"/>
      <c r="AW67" s="264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264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2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66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264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264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2" t="s">
        <v>1171</v>
      </c>
      <c r="C70" s="264"/>
      <c r="D70" s="264"/>
      <c r="E70" s="264"/>
      <c r="F70" s="264"/>
      <c r="G70" s="264"/>
      <c r="H70" s="66"/>
      <c r="I70" s="264"/>
      <c r="J70" s="66"/>
      <c r="K70" s="264"/>
      <c r="L70" s="264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66"/>
      <c r="AF70" s="264"/>
      <c r="AG70" s="264"/>
      <c r="AH70" s="264"/>
      <c r="AI70" s="264"/>
      <c r="AJ70" s="264"/>
      <c r="AK70" s="66"/>
      <c r="AL70" s="264"/>
      <c r="AM70" s="264"/>
      <c r="AN70" s="264"/>
      <c r="AO70" s="66"/>
      <c r="AP70" s="264"/>
      <c r="AQ70" s="264"/>
      <c r="AR70" s="264"/>
      <c r="AS70" s="264"/>
      <c r="AT70" s="264"/>
      <c r="AU70" s="66"/>
      <c r="AV70" s="264"/>
      <c r="AW70" s="66"/>
      <c r="AX70" s="264"/>
      <c r="AY70" s="264"/>
      <c r="AZ70" s="264"/>
      <c r="BA70" s="264"/>
      <c r="BB70" s="66"/>
      <c r="BC70" s="264"/>
      <c r="BD70" s="264"/>
      <c r="BE70" s="264"/>
      <c r="BF70" s="66"/>
      <c r="BG70" s="264"/>
      <c r="BH70" s="264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264"/>
      <c r="CU70" s="264"/>
      <c r="CV70" s="264"/>
      <c r="CW70" s="264"/>
      <c r="CX70" s="66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66"/>
      <c r="DT70" s="264"/>
      <c r="DU70" s="66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2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66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264"/>
      <c r="AS73" s="264"/>
      <c r="AT73" s="264"/>
      <c r="AU73" s="66"/>
      <c r="AV73" s="264"/>
      <c r="AW73" s="66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264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2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264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66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66"/>
      <c r="BF76" s="264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66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2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66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264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264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2" t="s">
        <v>1169</v>
      </c>
      <c r="C79" s="264"/>
      <c r="D79" s="66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66"/>
      <c r="AV79" s="264"/>
      <c r="AW79" s="66"/>
      <c r="AX79" s="264"/>
      <c r="AY79" s="66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2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2" t="s">
        <v>1171</v>
      </c>
      <c r="C82" s="264"/>
      <c r="D82" s="66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264"/>
      <c r="AB82" s="264"/>
      <c r="AC82" s="264"/>
      <c r="AD82" s="264"/>
      <c r="AE82" s="66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66"/>
      <c r="AV82" s="264"/>
      <c r="AW82" s="264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264"/>
      <c r="BI82" s="264"/>
      <c r="BJ82" s="264"/>
      <c r="BK82" s="264"/>
      <c r="BL82" s="264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264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2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66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66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66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2" t="s">
        <v>1171</v>
      </c>
      <c r="C85" s="264"/>
      <c r="D85" s="264"/>
      <c r="E85" s="264"/>
      <c r="F85" s="264"/>
      <c r="G85" s="264"/>
      <c r="H85" s="66"/>
      <c r="I85" s="264"/>
      <c r="J85" s="66"/>
      <c r="K85" s="264"/>
      <c r="L85" s="264"/>
      <c r="M85" s="264"/>
      <c r="N85" s="264"/>
      <c r="O85" s="264"/>
      <c r="P85" s="264"/>
      <c r="Q85" s="264"/>
      <c r="R85" s="66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66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66"/>
      <c r="BC85" s="264"/>
      <c r="BD85" s="264"/>
      <c r="BE85" s="264"/>
      <c r="BF85" s="66"/>
      <c r="BG85" s="264"/>
      <c r="BH85" s="66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2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66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2" t="s">
        <v>1171</v>
      </c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2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264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264"/>
      <c r="S91" s="264"/>
      <c r="T91" s="264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  <c r="AM91" s="264"/>
      <c r="AN91" s="264"/>
      <c r="AO91" s="264"/>
      <c r="AP91" s="264"/>
      <c r="AQ91" s="264"/>
      <c r="AR91" s="66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264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2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2" t="s">
        <v>1184</v>
      </c>
      <c r="C94" s="264"/>
      <c r="D94" s="66"/>
      <c r="E94" s="264"/>
      <c r="F94" s="264"/>
      <c r="G94" s="264"/>
      <c r="H94" s="66"/>
      <c r="I94" s="264"/>
      <c r="J94" s="264"/>
      <c r="K94" s="264"/>
      <c r="L94" s="66"/>
      <c r="M94" s="264"/>
      <c r="N94" s="264"/>
      <c r="O94" s="264"/>
      <c r="P94" s="66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66"/>
      <c r="AB94" s="264"/>
      <c r="AC94" s="264"/>
      <c r="AD94" s="264"/>
      <c r="AE94" s="66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66"/>
      <c r="BG94" s="264"/>
      <c r="BH94" s="264"/>
      <c r="BI94" s="264"/>
      <c r="BJ94" s="264"/>
      <c r="BK94" s="66"/>
      <c r="BL94" s="66"/>
      <c r="BM94" s="264"/>
      <c r="BN94" s="66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264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66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66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66"/>
      <c r="AQ97" s="264"/>
      <c r="AR97" s="264"/>
      <c r="AS97" s="264"/>
      <c r="AT97" s="264"/>
      <c r="AU97" s="66"/>
      <c r="AV97" s="264"/>
      <c r="AW97" s="264"/>
      <c r="AX97" s="264"/>
      <c r="AY97" s="264"/>
      <c r="AZ97" s="264"/>
      <c r="BA97" s="264"/>
      <c r="BB97" s="264"/>
      <c r="BC97" s="264"/>
      <c r="BD97" s="264"/>
      <c r="BE97" s="264"/>
      <c r="BF97" s="264"/>
      <c r="BG97" s="264"/>
      <c r="BH97" s="264"/>
      <c r="BI97" s="264"/>
      <c r="BJ97" s="264"/>
      <c r="BK97" s="264"/>
      <c r="BL97" s="264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2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264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264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66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66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66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264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66"/>
      <c r="CP100" s="264"/>
      <c r="CQ100" s="264"/>
      <c r="CR100" s="264"/>
      <c r="CS100" s="264"/>
      <c r="CT100" s="264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264"/>
      <c r="DT100" s="264"/>
      <c r="DU100" s="264"/>
      <c r="DV100" s="264"/>
      <c r="DW100" s="264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2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264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66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2" t="s">
        <v>1189</v>
      </c>
      <c r="C103" s="264"/>
      <c r="D103" s="264"/>
      <c r="E103" s="264"/>
      <c r="F103" s="264"/>
      <c r="G103" s="264"/>
      <c r="H103" s="264"/>
      <c r="I103" s="264"/>
      <c r="J103" s="66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66"/>
      <c r="AS103" s="264"/>
      <c r="AT103" s="264"/>
      <c r="AU103" s="66"/>
      <c r="AV103" s="264"/>
      <c r="AW103" s="66"/>
      <c r="AX103" s="264"/>
      <c r="AY103" s="264"/>
      <c r="AZ103" s="264"/>
      <c r="BA103" s="264"/>
      <c r="BB103" s="66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264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2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264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264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2" t="s">
        <v>1190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66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264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264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66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264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2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264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2" t="s">
        <v>1192</v>
      </c>
      <c r="C109" s="264"/>
      <c r="D109" s="264"/>
      <c r="E109" s="264"/>
      <c r="F109" s="264"/>
      <c r="G109" s="264"/>
      <c r="H109" s="264"/>
      <c r="I109" s="264"/>
      <c r="J109" s="264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66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66"/>
      <c r="BC109" s="264"/>
      <c r="BD109" s="264"/>
      <c r="BE109" s="66"/>
      <c r="BF109" s="264"/>
      <c r="BG109" s="264"/>
      <c r="BH109" s="66"/>
      <c r="BI109" s="264"/>
      <c r="BJ109" s="264"/>
      <c r="BK109" s="264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2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2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66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2" t="s">
        <v>1194</v>
      </c>
      <c r="C112" s="264"/>
      <c r="D112" s="264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264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66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2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66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66"/>
      <c r="E115" s="264"/>
      <c r="F115" s="66"/>
      <c r="G115" s="264"/>
      <c r="H115" s="264"/>
      <c r="I115" s="264"/>
      <c r="J115" s="264"/>
      <c r="K115" s="264"/>
      <c r="L115" s="264"/>
      <c r="M115" s="264"/>
      <c r="N115" s="264"/>
      <c r="O115" s="264"/>
      <c r="P115" s="66"/>
      <c r="Q115" s="264"/>
      <c r="R115" s="264"/>
      <c r="S115" s="264"/>
      <c r="T115" s="264"/>
      <c r="U115" s="264"/>
      <c r="V115" s="264"/>
      <c r="W115" s="66"/>
      <c r="X115" s="264"/>
      <c r="Y115" s="66"/>
      <c r="Z115" s="264"/>
      <c r="AA115" s="66"/>
      <c r="AB115" s="264"/>
      <c r="AC115" s="264"/>
      <c r="AD115" s="264"/>
      <c r="AE115" s="264"/>
      <c r="AF115" s="264"/>
      <c r="AG115" s="66"/>
      <c r="AH115" s="264"/>
      <c r="AI115" s="264"/>
      <c r="AJ115" s="264"/>
      <c r="AK115" s="264"/>
      <c r="AL115" s="264"/>
      <c r="AM115" s="264"/>
      <c r="AN115" s="264"/>
      <c r="AO115" s="264"/>
      <c r="AP115" s="264"/>
      <c r="AQ115" s="264"/>
      <c r="AR115" s="264"/>
      <c r="AS115" s="264"/>
      <c r="AT115" s="264"/>
      <c r="AU115" s="66"/>
      <c r="AV115" s="264"/>
      <c r="AW115" s="264"/>
      <c r="AX115" s="264"/>
      <c r="AY115" s="264"/>
      <c r="AZ115" s="66"/>
      <c r="BA115" s="264"/>
      <c r="BB115" s="66"/>
      <c r="BC115" s="264"/>
      <c r="BD115" s="264"/>
      <c r="BE115" s="264"/>
      <c r="BF115" s="264"/>
      <c r="BG115" s="264"/>
      <c r="BH115" s="66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264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2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264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66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66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2" t="s">
        <v>465</v>
      </c>
      <c r="C118" s="264"/>
      <c r="D118" s="66"/>
      <c r="E118" s="264"/>
      <c r="F118" s="264"/>
      <c r="G118" s="264"/>
      <c r="H118" s="264"/>
      <c r="I118" s="264"/>
      <c r="J118" s="66"/>
      <c r="K118" s="264"/>
      <c r="L118" s="264"/>
      <c r="M118" s="264"/>
      <c r="N118" s="264"/>
      <c r="O118" s="264"/>
      <c r="P118" s="264"/>
      <c r="Q118" s="264"/>
      <c r="R118" s="264"/>
      <c r="S118" s="264"/>
      <c r="T118" s="264"/>
      <c r="U118" s="264"/>
      <c r="V118" s="264"/>
      <c r="W118" s="66"/>
      <c r="X118" s="264"/>
      <c r="Y118" s="66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264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66"/>
      <c r="BF118" s="264"/>
      <c r="BG118" s="264"/>
      <c r="BH118" s="66"/>
      <c r="BI118" s="264"/>
      <c r="BJ118" s="264"/>
      <c r="BK118" s="66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2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2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66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2" t="s">
        <v>1141</v>
      </c>
      <c r="C121" s="264"/>
      <c r="D121" s="264"/>
      <c r="E121" s="264"/>
      <c r="F121" s="264"/>
      <c r="G121" s="264"/>
      <c r="H121" s="66"/>
      <c r="I121" s="264"/>
      <c r="J121" s="264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66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2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2" t="s">
        <v>469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66"/>
      <c r="S124" s="264"/>
      <c r="T124" s="264"/>
      <c r="U124" s="264"/>
      <c r="V124" s="264"/>
      <c r="W124" s="264"/>
      <c r="X124" s="264"/>
      <c r="Y124" s="264"/>
      <c r="Z124" s="264"/>
      <c r="AA124" s="66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66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2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2" t="s">
        <v>465</v>
      </c>
      <c r="C127" s="264"/>
      <c r="D127" s="264"/>
      <c r="E127" s="264"/>
      <c r="F127" s="264"/>
      <c r="G127" s="264"/>
      <c r="H127" s="264"/>
      <c r="I127" s="264"/>
      <c r="J127" s="66"/>
      <c r="K127" s="264"/>
      <c r="L127" s="264"/>
      <c r="M127" s="264"/>
      <c r="N127" s="264"/>
      <c r="O127" s="264"/>
      <c r="P127" s="66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66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2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2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264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2" t="s">
        <v>1200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66"/>
      <c r="BF130" s="264"/>
      <c r="BG130" s="264"/>
      <c r="BH130" s="66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2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66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66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2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264"/>
      <c r="Q133" s="264"/>
      <c r="R133" s="66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66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264"/>
      <c r="AV133" s="264"/>
      <c r="AW133" s="264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264"/>
      <c r="BL133" s="264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2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66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2" t="s">
        <v>474</v>
      </c>
      <c r="C136" s="264"/>
      <c r="D136" s="264"/>
      <c r="E136" s="264"/>
      <c r="F136" s="66"/>
      <c r="G136" s="264"/>
      <c r="H136" s="264"/>
      <c r="I136" s="264"/>
      <c r="J136" s="66"/>
      <c r="K136" s="264"/>
      <c r="L136" s="264"/>
      <c r="M136" s="264"/>
      <c r="N136" s="264"/>
      <c r="O136" s="264"/>
      <c r="P136" s="264"/>
      <c r="Q136" s="264"/>
      <c r="R136" s="66"/>
      <c r="S136" s="264"/>
      <c r="T136" s="264"/>
      <c r="U136" s="264"/>
      <c r="V136" s="264"/>
      <c r="W136" s="264"/>
      <c r="X136" s="264"/>
      <c r="Y136" s="264"/>
      <c r="Z136" s="264"/>
      <c r="AA136" s="66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264"/>
      <c r="BC136" s="264"/>
      <c r="BD136" s="264"/>
      <c r="BE136" s="66"/>
      <c r="BF136" s="264"/>
      <c r="BG136" s="264"/>
      <c r="BH136" s="66"/>
      <c r="BI136" s="264"/>
      <c r="BJ136" s="264"/>
      <c r="BK136" s="264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264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66"/>
      <c r="DV136" s="264"/>
      <c r="DW136" s="66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2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2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66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2" t="s">
        <v>1202</v>
      </c>
      <c r="C139" s="264"/>
      <c r="D139" s="264"/>
      <c r="E139" s="264"/>
      <c r="F139" s="264"/>
      <c r="G139" s="264"/>
      <c r="H139" s="66"/>
      <c r="I139" s="264"/>
      <c r="J139" s="66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66"/>
      <c r="AB139" s="264"/>
      <c r="AC139" s="264"/>
      <c r="AD139" s="264"/>
      <c r="AE139" s="66"/>
      <c r="AF139" s="264"/>
      <c r="AG139" s="66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66"/>
      <c r="AU139" s="264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2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66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66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66"/>
      <c r="BI142" s="264"/>
      <c r="BJ142" s="264"/>
      <c r="BK142" s="66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2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2" t="s">
        <v>477</v>
      </c>
      <c r="C145" s="264"/>
      <c r="D145" s="66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66"/>
      <c r="S145" s="264"/>
      <c r="T145" s="264"/>
      <c r="U145" s="264"/>
      <c r="V145" s="264"/>
      <c r="W145" s="66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66"/>
      <c r="AL145" s="264"/>
      <c r="AM145" s="264"/>
      <c r="AN145" s="264"/>
      <c r="AO145" s="264"/>
      <c r="AP145" s="264"/>
      <c r="AQ145" s="264"/>
      <c r="AR145" s="264"/>
      <c r="AS145" s="264"/>
      <c r="AT145" s="264"/>
      <c r="AU145" s="264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66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2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2" t="s">
        <v>407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264"/>
      <c r="AX148" s="264"/>
      <c r="AY148" s="264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66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2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66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2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66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66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66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264"/>
      <c r="DN151" s="264"/>
      <c r="DO151" s="264"/>
      <c r="DP151" s="264"/>
      <c r="DQ151" s="264"/>
      <c r="DR151" s="264"/>
      <c r="DS151" s="66"/>
      <c r="DT151" s="264"/>
      <c r="DU151" s="66"/>
      <c r="DV151" s="264"/>
      <c r="DW151" s="66"/>
      <c r="DX151" s="264"/>
      <c r="DY151" s="264"/>
      <c r="DZ151" s="264"/>
      <c r="EA151" s="264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2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264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264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264"/>
      <c r="E154" s="264"/>
      <c r="F154" s="264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264"/>
      <c r="S154" s="264"/>
      <c r="T154" s="264"/>
      <c r="U154" s="264"/>
      <c r="V154" s="264"/>
      <c r="W154" s="66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66"/>
      <c r="AQ154" s="264"/>
      <c r="AR154" s="264"/>
      <c r="AS154" s="264"/>
      <c r="AT154" s="264"/>
      <c r="AU154" s="66"/>
      <c r="AV154" s="264"/>
      <c r="AW154" s="66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66"/>
      <c r="BI154" s="264"/>
      <c r="BJ154" s="264"/>
      <c r="BK154" s="264"/>
      <c r="BL154" s="264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264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2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2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264"/>
      <c r="Q157" s="264"/>
      <c r="R157" s="66"/>
      <c r="S157" s="264"/>
      <c r="T157" s="264"/>
      <c r="U157" s="264"/>
      <c r="V157" s="264"/>
      <c r="W157" s="66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66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66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2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66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2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264"/>
      <c r="Q160" s="264"/>
      <c r="R160" s="66"/>
      <c r="S160" s="264"/>
      <c r="T160" s="264"/>
      <c r="U160" s="264"/>
      <c r="V160" s="264"/>
      <c r="W160" s="264"/>
      <c r="X160" s="264"/>
      <c r="Y160" s="66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66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66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264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2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2" t="s">
        <v>480</v>
      </c>
      <c r="C163" s="264"/>
      <c r="D163" s="264"/>
      <c r="E163" s="264"/>
      <c r="F163" s="264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264"/>
      <c r="AQ163" s="264"/>
      <c r="AR163" s="264"/>
      <c r="AS163" s="264"/>
      <c r="AT163" s="66"/>
      <c r="AU163" s="66"/>
      <c r="AV163" s="264"/>
      <c r="AW163" s="264"/>
      <c r="AX163" s="264"/>
      <c r="AY163" s="264"/>
      <c r="AZ163" s="66"/>
      <c r="BA163" s="264"/>
      <c r="BB163" s="264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2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2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2" t="s">
        <v>1204</v>
      </c>
      <c r="C166" s="264"/>
      <c r="D166" s="264"/>
      <c r="E166" s="264"/>
      <c r="F166" s="264"/>
      <c r="G166" s="264"/>
      <c r="H166" s="264"/>
      <c r="I166" s="264"/>
      <c r="J166" s="66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66"/>
      <c r="AB166" s="264"/>
      <c r="AC166" s="264"/>
      <c r="AD166" s="264"/>
      <c r="AE166" s="264"/>
      <c r="AF166" s="264"/>
      <c r="AG166" s="66"/>
      <c r="AH166" s="264"/>
      <c r="AI166" s="264"/>
      <c r="AJ166" s="264"/>
      <c r="AK166" s="264"/>
      <c r="AL166" s="264"/>
      <c r="AM166" s="264"/>
      <c r="AN166" s="264"/>
      <c r="AO166" s="264"/>
      <c r="AP166" s="264"/>
      <c r="AQ166" s="264"/>
      <c r="AR166" s="264"/>
      <c r="AS166" s="264"/>
      <c r="AT166" s="264"/>
      <c r="AU166" s="264"/>
      <c r="AV166" s="264"/>
      <c r="AW166" s="264"/>
      <c r="AX166" s="264"/>
      <c r="AY166" s="264"/>
      <c r="AZ166" s="66"/>
      <c r="BA166" s="264"/>
      <c r="BB166" s="264"/>
      <c r="BC166" s="264"/>
      <c r="BD166" s="264"/>
      <c r="BE166" s="264"/>
      <c r="BF166" s="264"/>
      <c r="BG166" s="264"/>
      <c r="BH166" s="66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2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2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2" t="s">
        <v>485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264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64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2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2" t="s">
        <v>486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264"/>
      <c r="Q172" s="264"/>
      <c r="R172" s="66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66"/>
      <c r="AL172" s="264"/>
      <c r="AM172" s="264"/>
      <c r="AN172" s="264"/>
      <c r="AO172" s="264"/>
      <c r="AP172" s="66"/>
      <c r="AQ172" s="264"/>
      <c r="AR172" s="264"/>
      <c r="AS172" s="264"/>
      <c r="AT172" s="264"/>
      <c r="AU172" s="264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66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2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66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264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264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66"/>
      <c r="AV175" s="264"/>
      <c r="AW175" s="264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66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264"/>
      <c r="DT175" s="264"/>
      <c r="DU175" s="264"/>
      <c r="DV175" s="264"/>
      <c r="DW175" s="66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2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264"/>
      <c r="AQ177" s="264"/>
      <c r="AR177" s="264"/>
      <c r="AS177" s="264"/>
      <c r="AT177" s="264"/>
      <c r="AU177" s="264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66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66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66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2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66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264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66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2" t="s">
        <v>413</v>
      </c>
      <c r="C181" s="264"/>
      <c r="D181" s="264"/>
      <c r="E181" s="264"/>
      <c r="F181" s="66"/>
      <c r="G181" s="264"/>
      <c r="H181" s="264"/>
      <c r="I181" s="264"/>
      <c r="J181" s="66"/>
      <c r="K181" s="264"/>
      <c r="L181" s="66"/>
      <c r="M181" s="264"/>
      <c r="N181" s="264"/>
      <c r="O181" s="264"/>
      <c r="P181" s="66"/>
      <c r="Q181" s="264"/>
      <c r="R181" s="264"/>
      <c r="S181" s="264"/>
      <c r="T181" s="66"/>
      <c r="U181" s="264"/>
      <c r="V181" s="264"/>
      <c r="W181" s="264"/>
      <c r="X181" s="264"/>
      <c r="Y181" s="66"/>
      <c r="Z181" s="264"/>
      <c r="AA181" s="264"/>
      <c r="AB181" s="264"/>
      <c r="AC181" s="264"/>
      <c r="AD181" s="264"/>
      <c r="AE181" s="264"/>
      <c r="AF181" s="264"/>
      <c r="AG181" s="66"/>
      <c r="AH181" s="264"/>
      <c r="AI181" s="264"/>
      <c r="AJ181" s="264"/>
      <c r="AK181" s="66"/>
      <c r="AL181" s="264"/>
      <c r="AM181" s="264"/>
      <c r="AN181" s="264"/>
      <c r="AO181" s="264"/>
      <c r="AP181" s="66"/>
      <c r="AQ181" s="264"/>
      <c r="AR181" s="264"/>
      <c r="AS181" s="264"/>
      <c r="AT181" s="264"/>
      <c r="AU181" s="66"/>
      <c r="AV181" s="264"/>
      <c r="AW181" s="264"/>
      <c r="AX181" s="264"/>
      <c r="AY181" s="264"/>
      <c r="AZ181" s="264"/>
      <c r="BA181" s="264"/>
      <c r="BB181" s="66"/>
      <c r="BC181" s="264"/>
      <c r="BD181" s="264"/>
      <c r="BE181" s="264"/>
      <c r="BF181" s="264"/>
      <c r="BG181" s="264"/>
      <c r="BH181" s="66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2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66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66"/>
      <c r="I184" s="264"/>
      <c r="J184" s="66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66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2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66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2" t="s">
        <v>414</v>
      </c>
      <c r="C187" s="264"/>
      <c r="D187" s="264"/>
      <c r="E187" s="264"/>
      <c r="F187" s="66"/>
      <c r="G187" s="264"/>
      <c r="H187" s="264"/>
      <c r="I187" s="264"/>
      <c r="J187" s="66"/>
      <c r="K187" s="264"/>
      <c r="L187" s="264"/>
      <c r="M187" s="264"/>
      <c r="N187" s="264"/>
      <c r="O187" s="264"/>
      <c r="P187" s="264"/>
      <c r="Q187" s="264"/>
      <c r="R187" s="264"/>
      <c r="S187" s="264"/>
      <c r="T187" s="264"/>
      <c r="U187" s="264"/>
      <c r="V187" s="264"/>
      <c r="W187" s="264"/>
      <c r="X187" s="264"/>
      <c r="Y187" s="264"/>
      <c r="Z187" s="264"/>
      <c r="AA187" s="66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264"/>
      <c r="AU187" s="66"/>
      <c r="AV187" s="264"/>
      <c r="AW187" s="66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2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66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66"/>
      <c r="X190" s="264"/>
      <c r="Y190" s="264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264"/>
      <c r="AQ190" s="264"/>
      <c r="AR190" s="264"/>
      <c r="AS190" s="264"/>
      <c r="AT190" s="264"/>
      <c r="AU190" s="264"/>
      <c r="AV190" s="264"/>
      <c r="AW190" s="264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2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66"/>
      <c r="G193" s="264"/>
      <c r="H193" s="264"/>
      <c r="I193" s="264"/>
      <c r="J193" s="66"/>
      <c r="K193" s="264"/>
      <c r="L193" s="264"/>
      <c r="M193" s="264"/>
      <c r="N193" s="264"/>
      <c r="O193" s="264"/>
      <c r="P193" s="66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66"/>
      <c r="AH193" s="264"/>
      <c r="AI193" s="264"/>
      <c r="AJ193" s="264"/>
      <c r="AK193" s="264"/>
      <c r="AL193" s="264"/>
      <c r="AM193" s="264"/>
      <c r="AN193" s="264"/>
      <c r="AO193" s="66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66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2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264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264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2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264"/>
      <c r="T196" s="264"/>
      <c r="U196" s="264"/>
      <c r="V196" s="264"/>
      <c r="W196" s="264"/>
      <c r="X196" s="264"/>
      <c r="Y196" s="264"/>
      <c r="Z196" s="264"/>
      <c r="AA196" s="66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264"/>
      <c r="AS196" s="264"/>
      <c r="AT196" s="264"/>
      <c r="AU196" s="264"/>
      <c r="AV196" s="264"/>
      <c r="AW196" s="66"/>
      <c r="AX196" s="264"/>
      <c r="AY196" s="66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264"/>
      <c r="BL196" s="264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66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66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264"/>
      <c r="DT196" s="264"/>
      <c r="DU196" s="264"/>
      <c r="DV196" s="264"/>
      <c r="DW196" s="66"/>
      <c r="DX196" s="264"/>
      <c r="DY196" s="264"/>
      <c r="DZ196" s="264"/>
      <c r="EA196" s="66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2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2" t="s">
        <v>416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264"/>
      <c r="AU199" s="264"/>
      <c r="AV199" s="264"/>
      <c r="AW199" s="66"/>
      <c r="AX199" s="264"/>
      <c r="AY199" s="66"/>
      <c r="AZ199" s="66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2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264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2" t="s">
        <v>490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66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66"/>
      <c r="AL202" s="264"/>
      <c r="AM202" s="264"/>
      <c r="AN202" s="264"/>
      <c r="AO202" s="264"/>
      <c r="AP202" s="66"/>
      <c r="AQ202" s="264"/>
      <c r="AR202" s="264"/>
      <c r="AS202" s="264"/>
      <c r="AT202" s="66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66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2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2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66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2" t="s">
        <v>465</v>
      </c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264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264"/>
      <c r="AP205" s="66"/>
      <c r="AQ205" s="264"/>
      <c r="AR205" s="264"/>
      <c r="AS205" s="264"/>
      <c r="AT205" s="264"/>
      <c r="AU205" s="66"/>
      <c r="AV205" s="264"/>
      <c r="AW205" s="264"/>
      <c r="AX205" s="264"/>
      <c r="AY205" s="264"/>
      <c r="AZ205" s="66"/>
      <c r="BA205" s="264"/>
      <c r="BB205" s="264"/>
      <c r="BC205" s="264"/>
      <c r="BD205" s="264"/>
      <c r="BE205" s="264"/>
      <c r="BF205" s="264"/>
      <c r="BG205" s="264"/>
      <c r="BH205" s="264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2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2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2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66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2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264"/>
      <c r="AV210" s="264"/>
      <c r="AW210" s="264"/>
      <c r="AX210" s="264"/>
      <c r="AY210" s="264"/>
      <c r="AZ210" s="264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66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66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2" t="s">
        <v>417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264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2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2" t="s">
        <v>465</v>
      </c>
      <c r="C214" s="264"/>
      <c r="D214" s="264"/>
      <c r="E214" s="264"/>
      <c r="F214" s="264"/>
      <c r="G214" s="264"/>
      <c r="H214" s="264"/>
      <c r="I214" s="264"/>
      <c r="J214" s="66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264"/>
      <c r="AP214" s="264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66"/>
      <c r="BG214" s="264"/>
      <c r="BH214" s="66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2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2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66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2" t="s">
        <v>1145</v>
      </c>
      <c r="C217" s="264"/>
      <c r="D217" s="66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2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66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264"/>
      <c r="Q220" s="264"/>
      <c r="R220" s="66"/>
      <c r="S220" s="264"/>
      <c r="T220" s="264"/>
      <c r="U220" s="264"/>
      <c r="V220" s="264"/>
      <c r="W220" s="264"/>
      <c r="X220" s="264"/>
      <c r="Y220" s="264"/>
      <c r="Z220" s="264"/>
      <c r="AA220" s="66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264"/>
      <c r="AL220" s="264"/>
      <c r="AM220" s="264"/>
      <c r="AN220" s="264"/>
      <c r="AO220" s="264"/>
      <c r="AP220" s="66"/>
      <c r="AQ220" s="264"/>
      <c r="AR220" s="264"/>
      <c r="AS220" s="264"/>
      <c r="AT220" s="264"/>
      <c r="AU220" s="66"/>
      <c r="AV220" s="264"/>
      <c r="AW220" s="66"/>
      <c r="AX220" s="264"/>
      <c r="AY220" s="264"/>
      <c r="AZ220" s="66"/>
      <c r="BA220" s="264"/>
      <c r="BB220" s="264"/>
      <c r="BC220" s="264"/>
      <c r="BD220" s="264"/>
      <c r="BE220" s="66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2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264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264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264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2" t="s">
        <v>418</v>
      </c>
      <c r="C223" s="264"/>
      <c r="D223" s="66"/>
      <c r="E223" s="264"/>
      <c r="F223" s="66"/>
      <c r="G223" s="264"/>
      <c r="H223" s="66"/>
      <c r="I223" s="264"/>
      <c r="J223" s="66"/>
      <c r="K223" s="264"/>
      <c r="L223" s="66"/>
      <c r="M223" s="264"/>
      <c r="N223" s="264"/>
      <c r="O223" s="264"/>
      <c r="P223" s="66"/>
      <c r="Q223" s="264"/>
      <c r="R223" s="264"/>
      <c r="S223" s="264"/>
      <c r="T223" s="264"/>
      <c r="U223" s="264"/>
      <c r="V223" s="264"/>
      <c r="W223" s="264"/>
      <c r="X223" s="264"/>
      <c r="Y223" s="66"/>
      <c r="Z223" s="264"/>
      <c r="AA223" s="264"/>
      <c r="AB223" s="264"/>
      <c r="AC223" s="264"/>
      <c r="AD223" s="264"/>
      <c r="AE223" s="66"/>
      <c r="AF223" s="264"/>
      <c r="AG223" s="66"/>
      <c r="AH223" s="264"/>
      <c r="AI223" s="264"/>
      <c r="AJ223" s="264"/>
      <c r="AK223" s="264"/>
      <c r="AL223" s="264"/>
      <c r="AM223" s="264"/>
      <c r="AN223" s="264"/>
      <c r="AO223" s="264"/>
      <c r="AP223" s="66"/>
      <c r="AQ223" s="264"/>
      <c r="AR223" s="264"/>
      <c r="AS223" s="264"/>
      <c r="AT223" s="66"/>
      <c r="AU223" s="66"/>
      <c r="AV223" s="264"/>
      <c r="AW223" s="264"/>
      <c r="AX223" s="264"/>
      <c r="AY223" s="264"/>
      <c r="AZ223" s="66"/>
      <c r="BA223" s="264"/>
      <c r="BB223" s="264"/>
      <c r="BC223" s="264"/>
      <c r="BD223" s="264"/>
      <c r="BE223" s="66"/>
      <c r="BF223" s="264"/>
      <c r="BG223" s="264"/>
      <c r="BH223" s="264"/>
      <c r="BI223" s="264"/>
      <c r="BJ223" s="264"/>
      <c r="BK223" s="264"/>
      <c r="BL223" s="264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66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2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264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264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2" t="s">
        <v>8</v>
      </c>
      <c r="C226" s="264"/>
      <c r="D226" s="264"/>
      <c r="E226" s="264"/>
      <c r="F226" s="264"/>
      <c r="G226" s="264"/>
      <c r="H226" s="264"/>
      <c r="I226" s="264"/>
      <c r="J226" s="66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66"/>
      <c r="AB226" s="264"/>
      <c r="AC226" s="264"/>
      <c r="AD226" s="264"/>
      <c r="AE226" s="264"/>
      <c r="AF226" s="264"/>
      <c r="AG226" s="66"/>
      <c r="AH226" s="264"/>
      <c r="AI226" s="264"/>
      <c r="AJ226" s="264"/>
      <c r="AK226" s="66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66"/>
      <c r="BC226" s="264"/>
      <c r="BD226" s="264"/>
      <c r="BE226" s="264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2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264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2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264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2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2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2" t="s">
        <v>1145</v>
      </c>
      <c r="C232" s="264"/>
      <c r="D232" s="66"/>
      <c r="E232" s="264"/>
      <c r="F232" s="66"/>
      <c r="G232" s="264"/>
      <c r="H232" s="66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66"/>
      <c r="X232" s="264"/>
      <c r="Y232" s="264"/>
      <c r="Z232" s="264"/>
      <c r="AA232" s="264"/>
      <c r="AB232" s="264"/>
      <c r="AC232" s="264"/>
      <c r="AD232" s="264"/>
      <c r="AE232" s="66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264"/>
      <c r="AQ232" s="264"/>
      <c r="AR232" s="264"/>
      <c r="AS232" s="264"/>
      <c r="AT232" s="264"/>
      <c r="AU232" s="264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66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2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2" t="s">
        <v>419</v>
      </c>
      <c r="C235" s="264"/>
      <c r="D235" s="264"/>
      <c r="E235" s="264"/>
      <c r="F235" s="66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264"/>
      <c r="X235" s="264"/>
      <c r="Y235" s="264"/>
      <c r="Z235" s="264"/>
      <c r="AA235" s="66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2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264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66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2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2" t="s">
        <v>420</v>
      </c>
      <c r="C241" s="264"/>
      <c r="D241" s="264"/>
      <c r="E241" s="264"/>
      <c r="F241" s="66"/>
      <c r="G241" s="264"/>
      <c r="H241" s="264"/>
      <c r="I241" s="264"/>
      <c r="J241" s="66"/>
      <c r="K241" s="264"/>
      <c r="L241" s="264"/>
      <c r="M241" s="264"/>
      <c r="N241" s="264"/>
      <c r="O241" s="264"/>
      <c r="P241" s="264"/>
      <c r="Q241" s="264"/>
      <c r="R241" s="264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66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66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2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66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264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2" t="s">
        <v>490</v>
      </c>
      <c r="C244" s="264"/>
      <c r="D244" s="66"/>
      <c r="E244" s="264"/>
      <c r="F244" s="264"/>
      <c r="G244" s="264"/>
      <c r="H244" s="66"/>
      <c r="I244" s="264"/>
      <c r="J244" s="66"/>
      <c r="K244" s="264"/>
      <c r="L244" s="264"/>
      <c r="M244" s="264"/>
      <c r="N244" s="264"/>
      <c r="O244" s="264"/>
      <c r="P244" s="264"/>
      <c r="Q244" s="264"/>
      <c r="R244" s="264"/>
      <c r="S244" s="264"/>
      <c r="T244" s="66"/>
      <c r="U244" s="264"/>
      <c r="V244" s="264"/>
      <c r="W244" s="264"/>
      <c r="X244" s="264"/>
      <c r="Y244" s="264"/>
      <c r="Z244" s="264"/>
      <c r="AA244" s="264"/>
      <c r="AB244" s="264"/>
      <c r="AC244" s="264"/>
      <c r="AD244" s="264"/>
      <c r="AE244" s="66"/>
      <c r="AF244" s="264"/>
      <c r="AG244" s="66"/>
      <c r="AH244" s="264"/>
      <c r="AI244" s="264"/>
      <c r="AJ244" s="264"/>
      <c r="AK244" s="264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66"/>
      <c r="AV244" s="264"/>
      <c r="AW244" s="264"/>
      <c r="AX244" s="264"/>
      <c r="AY244" s="264"/>
      <c r="AZ244" s="66"/>
      <c r="BA244" s="264"/>
      <c r="BB244" s="66"/>
      <c r="BC244" s="264"/>
      <c r="BD244" s="264"/>
      <c r="BE244" s="66"/>
      <c r="BF244" s="264"/>
      <c r="BG244" s="264"/>
      <c r="BH244" s="264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2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2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2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264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264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66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2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2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264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2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2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264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2" t="s">
        <v>421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2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264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2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66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264"/>
      <c r="AV256" s="264"/>
      <c r="AW256" s="264"/>
      <c r="AX256" s="264"/>
      <c r="AY256" s="66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66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66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66"/>
      <c r="DV256" s="264"/>
      <c r="DW256" s="264"/>
      <c r="DX256" s="264"/>
      <c r="DY256" s="264"/>
      <c r="DZ256" s="264"/>
      <c r="EA256" s="264"/>
      <c r="EB256" s="264"/>
      <c r="EC256" s="66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V258" s="261"/>
      <c r="W258" s="261"/>
      <c r="X258" s="261"/>
      <c r="Y258" s="261"/>
      <c r="Z258" s="261"/>
      <c r="AA258" s="261"/>
      <c r="AB258" s="261"/>
      <c r="AC258" s="261"/>
      <c r="AD258" s="261"/>
      <c r="AE258" s="261"/>
      <c r="AF258" s="261"/>
      <c r="AG258" s="261"/>
      <c r="AH258" s="261"/>
      <c r="AI258" s="261"/>
      <c r="AJ258" s="261"/>
      <c r="AK258" s="261"/>
      <c r="AL258" s="261"/>
      <c r="AM258" s="261"/>
      <c r="AP258" s="66"/>
      <c r="AZ258" s="66"/>
      <c r="BL258" s="66"/>
      <c r="ED258" s="66"/>
    </row>
    <row r="259" spans="1:151">
      <c r="A259" s="160"/>
      <c r="B259" s="160"/>
      <c r="J259" s="66"/>
      <c r="V259" s="261"/>
      <c r="W259" s="261"/>
      <c r="X259" s="261"/>
      <c r="Y259" s="66"/>
      <c r="Z259" s="261"/>
      <c r="AA259" s="261"/>
      <c r="AB259" s="261"/>
      <c r="AC259" s="261"/>
      <c r="AD259" s="261"/>
      <c r="AE259" s="261"/>
      <c r="AF259" s="261"/>
      <c r="AG259" s="261"/>
      <c r="AH259" s="261"/>
      <c r="AI259" s="261"/>
      <c r="AJ259" s="261"/>
      <c r="AK259" s="261"/>
      <c r="AL259" s="261"/>
      <c r="AM259" s="261"/>
      <c r="AO259" s="66"/>
      <c r="AP259" s="66"/>
      <c r="AU259" s="66"/>
      <c r="AZ259" s="66"/>
      <c r="BE259" s="66"/>
      <c r="BL259" s="66"/>
    </row>
    <row r="260" spans="1:151">
      <c r="A260" s="160"/>
      <c r="B260" s="160"/>
      <c r="V260" s="261"/>
      <c r="W260" s="261"/>
      <c r="X260" s="261"/>
      <c r="Y260" s="261"/>
      <c r="Z260" s="261"/>
      <c r="AA260" s="261"/>
      <c r="AB260" s="261"/>
      <c r="AC260" s="261"/>
      <c r="AD260" s="261"/>
      <c r="AE260" s="261"/>
      <c r="AF260" s="261"/>
      <c r="AG260" s="261"/>
      <c r="AH260" s="261"/>
      <c r="AI260" s="261"/>
      <c r="AJ260" s="261"/>
      <c r="AK260" s="261"/>
      <c r="AL260" s="261"/>
      <c r="AM260" s="261"/>
    </row>
    <row r="261" spans="1:151">
      <c r="A261" s="160"/>
      <c r="B261" s="160"/>
      <c r="V261" s="261"/>
      <c r="W261" s="261"/>
      <c r="X261" s="261"/>
      <c r="Y261" s="261"/>
      <c r="Z261" s="261"/>
      <c r="AA261" s="261"/>
      <c r="AB261" s="261"/>
      <c r="AC261" s="261"/>
      <c r="AD261" s="261"/>
      <c r="AE261" s="261"/>
      <c r="AF261" s="261"/>
      <c r="AG261" s="261"/>
      <c r="AH261" s="261"/>
      <c r="AI261" s="261"/>
      <c r="AJ261" s="261"/>
      <c r="AK261" s="261"/>
      <c r="AL261" s="261"/>
      <c r="AM261" s="261"/>
      <c r="AP261" s="66"/>
      <c r="AU261" s="66"/>
      <c r="AZ261" s="66"/>
      <c r="BL261" s="66"/>
      <c r="CT261" s="66"/>
    </row>
    <row r="262" spans="1:151">
      <c r="A262" s="160"/>
      <c r="B262" s="160"/>
      <c r="H262" s="66"/>
      <c r="J262" s="66"/>
      <c r="V262" s="261"/>
      <c r="W262" s="66"/>
      <c r="X262" s="261"/>
      <c r="Y262" s="66"/>
      <c r="Z262" s="261"/>
      <c r="AA262" s="66"/>
      <c r="AB262" s="261"/>
      <c r="AC262" s="261"/>
      <c r="AD262" s="261"/>
      <c r="AE262" s="261"/>
      <c r="AF262" s="261"/>
      <c r="AG262" s="261"/>
      <c r="AH262" s="261"/>
      <c r="AI262" s="261"/>
      <c r="AJ262" s="261"/>
      <c r="AK262" s="261"/>
      <c r="AL262" s="261"/>
      <c r="AM262" s="261"/>
      <c r="AP262" s="66"/>
      <c r="AU262" s="66"/>
      <c r="AZ262" s="66"/>
      <c r="BB262" s="66"/>
      <c r="BE262" s="66"/>
      <c r="BH262" s="66"/>
      <c r="BK262" s="66"/>
      <c r="BL262" s="66"/>
      <c r="DS262" s="66"/>
    </row>
    <row r="263" spans="1:151">
      <c r="A263" s="160"/>
      <c r="B263" s="160"/>
      <c r="V263" s="261"/>
      <c r="W263" s="261"/>
      <c r="X263" s="261"/>
      <c r="Y263" s="261"/>
      <c r="Z263" s="261"/>
      <c r="AA263" s="261"/>
      <c r="AB263" s="261"/>
      <c r="AC263" s="261"/>
      <c r="AD263" s="261"/>
      <c r="AE263" s="261"/>
      <c r="AF263" s="261"/>
      <c r="AG263" s="261"/>
      <c r="AH263" s="261"/>
      <c r="AI263" s="261"/>
      <c r="AJ263" s="261"/>
      <c r="AK263" s="261"/>
      <c r="AL263" s="261"/>
      <c r="AM263" s="261"/>
    </row>
    <row r="264" spans="1:151">
      <c r="A264" s="160"/>
      <c r="B264" s="160"/>
      <c r="V264" s="261"/>
      <c r="W264" s="261"/>
      <c r="X264" s="261"/>
      <c r="Y264" s="261"/>
      <c r="Z264" s="261"/>
      <c r="AA264" s="261"/>
      <c r="AB264" s="261"/>
      <c r="AC264" s="261"/>
      <c r="AD264" s="261"/>
      <c r="AE264" s="261"/>
      <c r="AF264" s="261"/>
      <c r="AG264" s="261"/>
      <c r="AH264" s="261"/>
      <c r="AI264" s="261"/>
      <c r="AJ264" s="261"/>
      <c r="AK264" s="261"/>
      <c r="AL264" s="261"/>
      <c r="AM264" s="261"/>
      <c r="AU264" s="66"/>
      <c r="BL264" s="66"/>
    </row>
    <row r="265" spans="1:151">
      <c r="A265" s="160"/>
      <c r="B265" s="160"/>
      <c r="L265" s="66"/>
      <c r="T265" s="66"/>
      <c r="V265" s="261"/>
      <c r="W265" s="261"/>
      <c r="X265" s="261"/>
      <c r="Y265" s="261"/>
      <c r="Z265" s="261"/>
      <c r="AA265" s="261"/>
      <c r="AB265" s="261"/>
      <c r="AC265" s="261"/>
      <c r="AD265" s="261"/>
      <c r="AE265" s="261"/>
      <c r="AF265" s="261"/>
      <c r="AG265" s="261"/>
      <c r="AH265" s="261"/>
      <c r="AI265" s="261"/>
      <c r="AJ265" s="261"/>
      <c r="AK265" s="261"/>
      <c r="AL265" s="261"/>
      <c r="AM265" s="261"/>
      <c r="AO265" s="66"/>
      <c r="AR265" s="66"/>
    </row>
    <row r="266" spans="1:151">
      <c r="A266" s="160"/>
      <c r="B266" s="160"/>
      <c r="V266" s="261"/>
      <c r="W266" s="261"/>
      <c r="X266" s="261"/>
      <c r="Y266" s="261"/>
      <c r="Z266" s="261"/>
      <c r="AA266" s="261"/>
      <c r="AB266" s="261"/>
      <c r="AC266" s="261"/>
      <c r="AD266" s="261"/>
      <c r="AE266" s="261"/>
      <c r="AF266" s="261"/>
      <c r="AG266" s="261"/>
      <c r="AH266" s="261"/>
      <c r="AI266" s="261"/>
      <c r="AJ266" s="261"/>
      <c r="AK266" s="261"/>
      <c r="AL266" s="261"/>
      <c r="AM266" s="261"/>
    </row>
    <row r="267" spans="1:151">
      <c r="A267" s="160"/>
      <c r="B267" s="160"/>
      <c r="V267" s="261"/>
      <c r="W267" s="261"/>
      <c r="X267" s="261"/>
      <c r="Y267" s="261"/>
      <c r="Z267" s="261"/>
      <c r="AA267" s="261"/>
      <c r="AB267" s="261"/>
      <c r="AC267" s="261"/>
      <c r="AD267" s="261"/>
      <c r="AE267" s="261"/>
      <c r="AF267" s="261"/>
      <c r="AG267" s="261"/>
      <c r="AH267" s="261"/>
      <c r="AI267" s="261"/>
      <c r="AJ267" s="261"/>
      <c r="AK267" s="261"/>
      <c r="AL267" s="261"/>
      <c r="AM267" s="261"/>
      <c r="AU267" s="66"/>
      <c r="AZ267" s="66"/>
      <c r="CT267" s="66"/>
      <c r="ED267" s="66"/>
    </row>
    <row r="268" spans="1:151">
      <c r="A268" s="160"/>
      <c r="B268" s="160"/>
      <c r="D268" s="66"/>
      <c r="F268" s="66"/>
      <c r="H268" s="66"/>
      <c r="J268" s="66"/>
      <c r="P268" s="66"/>
      <c r="R268" s="66"/>
      <c r="T268" s="66"/>
      <c r="V268" s="261"/>
      <c r="W268" s="66"/>
      <c r="X268" s="261"/>
      <c r="Y268" s="261"/>
      <c r="Z268" s="261"/>
      <c r="AA268" s="66"/>
      <c r="AB268" s="261"/>
      <c r="AC268" s="261"/>
      <c r="AD268" s="261"/>
      <c r="AE268" s="66"/>
      <c r="AF268" s="261"/>
      <c r="AG268" s="66"/>
      <c r="AH268" s="261"/>
      <c r="AI268" s="261"/>
      <c r="AJ268" s="261"/>
      <c r="AK268" s="66"/>
      <c r="AL268" s="261"/>
      <c r="AM268" s="261"/>
      <c r="AO268" s="66"/>
      <c r="AR268" s="66"/>
      <c r="AU268" s="66"/>
      <c r="AW268" s="66"/>
      <c r="AZ268" s="66"/>
      <c r="BH268" s="66"/>
      <c r="BK268" s="66"/>
      <c r="BL268" s="66"/>
      <c r="CT268" s="66"/>
      <c r="DI268" s="66"/>
      <c r="DS268" s="66"/>
      <c r="DU268" s="66"/>
      <c r="DW268" s="66"/>
      <c r="DY268" s="66"/>
    </row>
    <row r="269" spans="1:151">
      <c r="A269" s="160"/>
      <c r="B269" s="160"/>
      <c r="V269" s="261"/>
      <c r="W269" s="261"/>
      <c r="X269" s="261"/>
      <c r="Y269" s="261"/>
      <c r="Z269" s="261"/>
      <c r="AA269" s="261"/>
      <c r="AB269" s="261"/>
      <c r="AC269" s="261"/>
      <c r="AD269" s="261"/>
      <c r="AE269" s="261"/>
      <c r="AF269" s="261"/>
      <c r="AG269" s="261"/>
      <c r="AH269" s="261"/>
      <c r="AI269" s="261"/>
      <c r="AJ269" s="261"/>
      <c r="AK269" s="261"/>
      <c r="AL269" s="261"/>
      <c r="AM269" s="261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U272"/>
  <sheetViews>
    <sheetView workbookViewId="0">
      <pane xSplit="2" ySplit="5" topLeftCell="EA9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160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1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1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3"/>
      <c r="AC4" s="363"/>
      <c r="AD4" s="7" t="s">
        <v>0</v>
      </c>
      <c r="AE4" s="7" t="s">
        <v>236</v>
      </c>
      <c r="AF4" s="7" t="s">
        <v>0</v>
      </c>
      <c r="AG4" s="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1" s="6" customFormat="1">
      <c r="A5" s="367"/>
      <c r="B5" s="368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4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66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66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264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66"/>
      <c r="BI10" s="264"/>
      <c r="BJ10" s="264"/>
      <c r="BK10" s="66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66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66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66"/>
      <c r="G16" s="264"/>
      <c r="H16" s="264"/>
      <c r="I16" s="264"/>
      <c r="J16" s="66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264"/>
      <c r="AQ16" s="264"/>
      <c r="AR16" s="264"/>
      <c r="AS16" s="264"/>
      <c r="AT16" s="264"/>
      <c r="AU16" s="264"/>
      <c r="AV16" s="264"/>
      <c r="AW16" s="264"/>
      <c r="AX16" s="264"/>
      <c r="AY16" s="264"/>
      <c r="AZ16" s="66"/>
      <c r="BA16" s="264"/>
      <c r="BB16" s="66"/>
      <c r="BC16" s="264"/>
      <c r="BD16" s="264"/>
      <c r="BE16" s="66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264"/>
      <c r="AV19" s="264"/>
      <c r="AW19" s="264"/>
      <c r="AX19" s="264"/>
      <c r="AY19" s="264"/>
      <c r="AZ19" s="66"/>
      <c r="BA19" s="264"/>
      <c r="BB19" s="66"/>
      <c r="BC19" s="264"/>
      <c r="BD19" s="264"/>
      <c r="BE19" s="66"/>
      <c r="BF19" s="264"/>
      <c r="BG19" s="264"/>
      <c r="BH19" s="66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/>
      <c r="D22" s="264"/>
      <c r="E22" s="264"/>
      <c r="F22" s="264"/>
      <c r="G22" s="264"/>
      <c r="H22" s="264"/>
      <c r="I22" s="264"/>
      <c r="J22" s="66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66"/>
      <c r="AQ22" s="264"/>
      <c r="AR22" s="264"/>
      <c r="AS22" s="264"/>
      <c r="AT22" s="264"/>
      <c r="AU22" s="66"/>
      <c r="AV22" s="264"/>
      <c r="AW22" s="264"/>
      <c r="AX22" s="264"/>
      <c r="AY22" s="264"/>
      <c r="AZ22" s="66"/>
      <c r="BA22" s="264"/>
      <c r="BB22" s="66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66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264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264"/>
      <c r="AV28" s="264"/>
      <c r="AW28" s="264"/>
      <c r="AX28" s="264"/>
      <c r="AY28" s="264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66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264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66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66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4" t="s">
        <v>1152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  <c r="AG37" s="66"/>
      <c r="AH37" s="264"/>
      <c r="AI37" s="264"/>
      <c r="AJ37" s="264"/>
      <c r="AK37" s="264"/>
      <c r="AL37" s="264"/>
      <c r="AM37" s="264"/>
      <c r="AN37" s="264"/>
      <c r="AO37" s="264"/>
      <c r="AP37" s="264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264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66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66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66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/>
      <c r="D43" s="264"/>
      <c r="E43" s="264"/>
      <c r="F43" s="66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66"/>
      <c r="AB43" s="264"/>
      <c r="AC43" s="264"/>
      <c r="AD43" s="264"/>
      <c r="AE43" s="264"/>
      <c r="AF43" s="264"/>
      <c r="AG43" s="264"/>
      <c r="AH43" s="264"/>
      <c r="AI43" s="264"/>
      <c r="AJ43" s="264"/>
      <c r="AK43" s="66"/>
      <c r="AL43" s="264"/>
      <c r="AM43" s="264"/>
      <c r="AN43" s="264"/>
      <c r="AO43" s="264"/>
      <c r="AP43" s="66"/>
      <c r="AQ43" s="264"/>
      <c r="AR43" s="264"/>
      <c r="AS43" s="264"/>
      <c r="AT43" s="264"/>
      <c r="AU43" s="264"/>
      <c r="AV43" s="264"/>
      <c r="AW43" s="66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66"/>
      <c r="BL43" s="264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66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/>
      <c r="D49" s="264"/>
      <c r="E49" s="264"/>
      <c r="F49" s="66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264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66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66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4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66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66"/>
      <c r="U58" s="264"/>
      <c r="V58" s="264"/>
      <c r="W58" s="66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264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66"/>
      <c r="AV58" s="264"/>
      <c r="AW58" s="264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66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66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66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/>
      <c r="D64" s="264"/>
      <c r="E64" s="264"/>
      <c r="F64" s="264"/>
      <c r="G64" s="264"/>
      <c r="H64" s="66"/>
      <c r="I64" s="264"/>
      <c r="J64" s="264"/>
      <c r="K64" s="264"/>
      <c r="L64" s="66"/>
      <c r="M64" s="264"/>
      <c r="N64" s="264"/>
      <c r="O64" s="264"/>
      <c r="P64" s="66"/>
      <c r="Q64" s="264"/>
      <c r="R64" s="66"/>
      <c r="S64" s="264"/>
      <c r="T64" s="264"/>
      <c r="U64" s="264"/>
      <c r="V64" s="264"/>
      <c r="W64" s="264"/>
      <c r="X64" s="264"/>
      <c r="Y64" s="66"/>
      <c r="Z64" s="264"/>
      <c r="AA64" s="264"/>
      <c r="AB64" s="264"/>
      <c r="AC64" s="264"/>
      <c r="AD64" s="264"/>
      <c r="AE64" s="66"/>
      <c r="AF64" s="264"/>
      <c r="AG64" s="264"/>
      <c r="AH64" s="264"/>
      <c r="AI64" s="66"/>
      <c r="AJ64" s="264"/>
      <c r="AK64" s="264"/>
      <c r="AL64" s="264"/>
      <c r="AM64" s="264"/>
      <c r="AN64" s="264"/>
      <c r="AO64" s="66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66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66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66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264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66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66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/>
      <c r="D70" s="264"/>
      <c r="E70" s="264"/>
      <c r="F70" s="264"/>
      <c r="G70" s="264"/>
      <c r="H70" s="66"/>
      <c r="I70" s="264"/>
      <c r="J70" s="66"/>
      <c r="K70" s="264"/>
      <c r="L70" s="66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66"/>
      <c r="AL70" s="264"/>
      <c r="AM70" s="264"/>
      <c r="AN70" s="264"/>
      <c r="AO70" s="66"/>
      <c r="AP70" s="264"/>
      <c r="AQ70" s="264"/>
      <c r="AR70" s="66"/>
      <c r="AS70" s="264"/>
      <c r="AT70" s="66"/>
      <c r="AU70" s="66"/>
      <c r="AV70" s="264"/>
      <c r="AW70" s="66"/>
      <c r="AX70" s="264"/>
      <c r="AY70" s="264"/>
      <c r="AZ70" s="66"/>
      <c r="BA70" s="264"/>
      <c r="BB70" s="66"/>
      <c r="BC70" s="264"/>
      <c r="BD70" s="264"/>
      <c r="BE70" s="264"/>
      <c r="BF70" s="66"/>
      <c r="BG70" s="264"/>
      <c r="BH70" s="66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264"/>
      <c r="CU70" s="264"/>
      <c r="CV70" s="264"/>
      <c r="CW70" s="264"/>
      <c r="CX70" s="66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66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66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66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264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66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66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66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66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66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66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66"/>
      <c r="X79" s="264"/>
      <c r="Y79" s="66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66"/>
      <c r="AL79" s="264"/>
      <c r="AM79" s="264"/>
      <c r="AN79" s="264"/>
      <c r="AO79" s="66"/>
      <c r="AP79" s="264"/>
      <c r="AQ79" s="264"/>
      <c r="AR79" s="264"/>
      <c r="AS79" s="264"/>
      <c r="AT79" s="264"/>
      <c r="AU79" s="66"/>
      <c r="AV79" s="264"/>
      <c r="AW79" s="66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66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264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/>
      <c r="D82" s="264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66"/>
      <c r="X82" s="264"/>
      <c r="Y82" s="66"/>
      <c r="Z82" s="264"/>
      <c r="AA82" s="264"/>
      <c r="AB82" s="264"/>
      <c r="AC82" s="264"/>
      <c r="AD82" s="264"/>
      <c r="AE82" s="66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264"/>
      <c r="AV82" s="264"/>
      <c r="AW82" s="264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66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66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4" t="s">
        <v>1171</v>
      </c>
      <c r="C85" s="264"/>
      <c r="D85" s="264"/>
      <c r="E85" s="264"/>
      <c r="F85" s="264"/>
      <c r="G85" s="264"/>
      <c r="H85" s="66"/>
      <c r="I85" s="264"/>
      <c r="J85" s="264"/>
      <c r="K85" s="264"/>
      <c r="L85" s="264"/>
      <c r="M85" s="264"/>
      <c r="N85" s="264"/>
      <c r="O85" s="264"/>
      <c r="P85" s="264"/>
      <c r="Q85" s="264"/>
      <c r="R85" s="66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66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66"/>
      <c r="BG85" s="264"/>
      <c r="BH85" s="264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66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66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66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264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66"/>
      <c r="E91" s="264"/>
      <c r="F91" s="66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264"/>
      <c r="S91" s="264"/>
      <c r="T91" s="66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  <c r="AM91" s="264"/>
      <c r="AN91" s="264"/>
      <c r="AO91" s="264"/>
      <c r="AP91" s="264"/>
      <c r="AQ91" s="264"/>
      <c r="AR91" s="264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264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66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/>
      <c r="D94" s="264"/>
      <c r="E94" s="264"/>
      <c r="F94" s="264"/>
      <c r="G94" s="264"/>
      <c r="H94" s="66"/>
      <c r="I94" s="264"/>
      <c r="J94" s="264"/>
      <c r="K94" s="264"/>
      <c r="L94" s="66"/>
      <c r="M94" s="264"/>
      <c r="N94" s="264"/>
      <c r="O94" s="264"/>
      <c r="P94" s="66"/>
      <c r="Q94" s="264"/>
      <c r="R94" s="264"/>
      <c r="S94" s="264"/>
      <c r="T94" s="66"/>
      <c r="U94" s="264"/>
      <c r="V94" s="264"/>
      <c r="W94" s="264"/>
      <c r="X94" s="264"/>
      <c r="Y94" s="66"/>
      <c r="Z94" s="264"/>
      <c r="AA94" s="264"/>
      <c r="AB94" s="264"/>
      <c r="AC94" s="264"/>
      <c r="AD94" s="264"/>
      <c r="AE94" s="66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66"/>
      <c r="BG94" s="264"/>
      <c r="BH94" s="264"/>
      <c r="BI94" s="264"/>
      <c r="BJ94" s="264"/>
      <c r="BK94" s="66"/>
      <c r="BL94" s="264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66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66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66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66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66"/>
      <c r="BL100" s="264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66"/>
      <c r="CP100" s="264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264"/>
      <c r="DT100" s="264"/>
      <c r="DU100" s="264"/>
      <c r="DV100" s="264"/>
      <c r="DW100" s="264"/>
      <c r="DX100" s="264"/>
      <c r="DY100" s="66"/>
      <c r="DZ100" s="264"/>
      <c r="EA100" s="66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264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66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4" t="s">
        <v>1189</v>
      </c>
      <c r="C103" s="264"/>
      <c r="D103" s="264"/>
      <c r="E103" s="264"/>
      <c r="F103" s="264"/>
      <c r="G103" s="264"/>
      <c r="H103" s="264"/>
      <c r="I103" s="264"/>
      <c r="J103" s="66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66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66"/>
      <c r="BL103" s="264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4" t="s">
        <v>1190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264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264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4" t="s">
        <v>1192</v>
      </c>
      <c r="C109" s="264"/>
      <c r="D109" s="264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264"/>
      <c r="BC109" s="264"/>
      <c r="BD109" s="264"/>
      <c r="BE109" s="66"/>
      <c r="BF109" s="264"/>
      <c r="BG109" s="264"/>
      <c r="BH109" s="66"/>
      <c r="BI109" s="264"/>
      <c r="BJ109" s="264"/>
      <c r="BK109" s="264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264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66"/>
      <c r="DV109" s="264"/>
      <c r="DW109" s="264"/>
      <c r="DX109" s="264"/>
      <c r="DY109" s="264"/>
      <c r="DZ109" s="264"/>
      <c r="EA109" s="264"/>
      <c r="EB109" s="264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66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/>
      <c r="D112" s="264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66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264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66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264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66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264"/>
      <c r="E115" s="264"/>
      <c r="F115" s="264"/>
      <c r="G115" s="264"/>
      <c r="H115" s="264"/>
      <c r="I115" s="264"/>
      <c r="J115" s="66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66"/>
      <c r="AB115" s="264"/>
      <c r="AC115" s="264"/>
      <c r="AD115" s="264"/>
      <c r="AE115" s="66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264"/>
      <c r="AZ115" s="66"/>
      <c r="BA115" s="264"/>
      <c r="BB115" s="66"/>
      <c r="BC115" s="264"/>
      <c r="BD115" s="264"/>
      <c r="BE115" s="66"/>
      <c r="BF115" s="264"/>
      <c r="BG115" s="264"/>
      <c r="BH115" s="66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264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66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66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66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4" t="s">
        <v>465</v>
      </c>
      <c r="C118" s="264"/>
      <c r="D118" s="264"/>
      <c r="E118" s="264"/>
      <c r="F118" s="264"/>
      <c r="G118" s="264"/>
      <c r="H118" s="264"/>
      <c r="I118" s="264"/>
      <c r="J118" s="66"/>
      <c r="K118" s="264"/>
      <c r="L118" s="264"/>
      <c r="M118" s="264"/>
      <c r="N118" s="264"/>
      <c r="O118" s="264"/>
      <c r="P118" s="264"/>
      <c r="Q118" s="264"/>
      <c r="R118" s="66"/>
      <c r="S118" s="264"/>
      <c r="T118" s="264"/>
      <c r="U118" s="264"/>
      <c r="V118" s="264"/>
      <c r="W118" s="66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66"/>
      <c r="BC118" s="264"/>
      <c r="BD118" s="264"/>
      <c r="BE118" s="66"/>
      <c r="BF118" s="264"/>
      <c r="BG118" s="264"/>
      <c r="BH118" s="66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66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/>
      <c r="D121" s="264"/>
      <c r="E121" s="264"/>
      <c r="F121" s="66"/>
      <c r="G121" s="264"/>
      <c r="H121" s="264"/>
      <c r="I121" s="264"/>
      <c r="J121" s="264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264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66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/>
      <c r="D124" s="264"/>
      <c r="E124" s="264"/>
      <c r="F124" s="264"/>
      <c r="G124" s="264"/>
      <c r="H124" s="264"/>
      <c r="I124" s="264"/>
      <c r="J124" s="66"/>
      <c r="K124" s="264"/>
      <c r="L124" s="264"/>
      <c r="M124" s="264"/>
      <c r="N124" s="264"/>
      <c r="O124" s="264"/>
      <c r="P124" s="66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66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66"/>
      <c r="BC124" s="264"/>
      <c r="BD124" s="264"/>
      <c r="BE124" s="66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/>
      <c r="D127" s="264"/>
      <c r="E127" s="264"/>
      <c r="F127" s="264"/>
      <c r="G127" s="264"/>
      <c r="H127" s="264"/>
      <c r="I127" s="264"/>
      <c r="J127" s="66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264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66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66"/>
      <c r="BF130" s="264"/>
      <c r="BG130" s="264"/>
      <c r="BH130" s="66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66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4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264"/>
      <c r="Q133" s="264"/>
      <c r="R133" s="66"/>
      <c r="S133" s="264"/>
      <c r="T133" s="264"/>
      <c r="U133" s="264"/>
      <c r="V133" s="264"/>
      <c r="W133" s="264"/>
      <c r="X133" s="264"/>
      <c r="Y133" s="66"/>
      <c r="Z133" s="264"/>
      <c r="AA133" s="66"/>
      <c r="AB133" s="264"/>
      <c r="AC133" s="264"/>
      <c r="AD133" s="264"/>
      <c r="AE133" s="264"/>
      <c r="AF133" s="264"/>
      <c r="AG133" s="66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264"/>
      <c r="AX133" s="264"/>
      <c r="AY133" s="264"/>
      <c r="AZ133" s="66"/>
      <c r="BA133" s="264"/>
      <c r="BB133" s="66"/>
      <c r="BC133" s="264"/>
      <c r="BD133" s="264"/>
      <c r="BE133" s="264"/>
      <c r="BF133" s="264"/>
      <c r="BG133" s="264"/>
      <c r="BH133" s="66"/>
      <c r="BI133" s="264"/>
      <c r="BJ133" s="264"/>
      <c r="BK133" s="264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264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4" t="s">
        <v>474</v>
      </c>
      <c r="C136" s="264"/>
      <c r="D136" s="264"/>
      <c r="E136" s="264"/>
      <c r="F136" s="264"/>
      <c r="G136" s="264"/>
      <c r="H136" s="264"/>
      <c r="I136" s="264"/>
      <c r="J136" s="66"/>
      <c r="K136" s="264"/>
      <c r="L136" s="264"/>
      <c r="M136" s="264"/>
      <c r="N136" s="264"/>
      <c r="O136" s="264"/>
      <c r="P136" s="264"/>
      <c r="Q136" s="264"/>
      <c r="R136" s="66"/>
      <c r="S136" s="264"/>
      <c r="T136" s="264"/>
      <c r="U136" s="264"/>
      <c r="V136" s="264"/>
      <c r="W136" s="264"/>
      <c r="X136" s="264"/>
      <c r="Y136" s="264"/>
      <c r="Z136" s="264"/>
      <c r="AA136" s="66"/>
      <c r="AB136" s="264"/>
      <c r="AC136" s="264"/>
      <c r="AD136" s="264"/>
      <c r="AE136" s="264"/>
      <c r="AF136" s="264"/>
      <c r="AG136" s="66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66"/>
      <c r="BC136" s="264"/>
      <c r="BD136" s="264"/>
      <c r="BE136" s="66"/>
      <c r="BF136" s="264"/>
      <c r="BG136" s="264"/>
      <c r="BH136" s="264"/>
      <c r="BI136" s="264"/>
      <c r="BJ136" s="264"/>
      <c r="BK136" s="264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264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/>
      <c r="D139" s="66"/>
      <c r="E139" s="264"/>
      <c r="F139" s="264"/>
      <c r="G139" s="264"/>
      <c r="H139" s="66"/>
      <c r="I139" s="264"/>
      <c r="J139" s="66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66"/>
      <c r="Z139" s="264"/>
      <c r="AA139" s="66"/>
      <c r="AB139" s="264"/>
      <c r="AC139" s="264"/>
      <c r="AD139" s="264"/>
      <c r="AE139" s="66"/>
      <c r="AF139" s="264"/>
      <c r="AG139" s="66"/>
      <c r="AH139" s="264"/>
      <c r="AI139" s="264"/>
      <c r="AJ139" s="264"/>
      <c r="AK139" s="264"/>
      <c r="AL139" s="264"/>
      <c r="AM139" s="264"/>
      <c r="AN139" s="264"/>
      <c r="AO139" s="66"/>
      <c r="AP139" s="66"/>
      <c r="AQ139" s="264"/>
      <c r="AR139" s="264"/>
      <c r="AS139" s="264"/>
      <c r="AT139" s="264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66"/>
      <c r="BC142" s="264"/>
      <c r="BD142" s="264"/>
      <c r="BE142" s="66"/>
      <c r="BF142" s="264"/>
      <c r="BG142" s="264"/>
      <c r="BH142" s="66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4" t="s">
        <v>477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66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66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66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66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/>
      <c r="D148" s="264"/>
      <c r="E148" s="264"/>
      <c r="F148" s="66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66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264"/>
      <c r="AX148" s="264"/>
      <c r="AY148" s="264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66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66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4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66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66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66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66"/>
      <c r="DT151" s="264"/>
      <c r="DU151" s="66"/>
      <c r="DV151" s="264"/>
      <c r="DW151" s="264"/>
      <c r="DX151" s="264"/>
      <c r="DY151" s="264"/>
      <c r="DZ151" s="264"/>
      <c r="EA151" s="264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264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264"/>
      <c r="E154" s="264"/>
      <c r="F154" s="66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66"/>
      <c r="S154" s="264"/>
      <c r="T154" s="264"/>
      <c r="U154" s="264"/>
      <c r="V154" s="264"/>
      <c r="W154" s="264"/>
      <c r="X154" s="264"/>
      <c r="Y154" s="264"/>
      <c r="Z154" s="264"/>
      <c r="AA154" s="66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66"/>
      <c r="AQ154" s="264"/>
      <c r="AR154" s="264"/>
      <c r="AS154" s="264"/>
      <c r="AT154" s="264"/>
      <c r="AU154" s="66"/>
      <c r="AV154" s="264"/>
      <c r="AW154" s="66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264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264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66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66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264"/>
      <c r="Q160" s="264"/>
      <c r="R160" s="66"/>
      <c r="S160" s="264"/>
      <c r="T160" s="264"/>
      <c r="U160" s="264"/>
      <c r="V160" s="264"/>
      <c r="W160" s="264"/>
      <c r="X160" s="264"/>
      <c r="Y160" s="66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264"/>
      <c r="BC160" s="264"/>
      <c r="BD160" s="264"/>
      <c r="BE160" s="264"/>
      <c r="BF160" s="264"/>
      <c r="BG160" s="264"/>
      <c r="BH160" s="66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264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66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/>
      <c r="D163" s="264"/>
      <c r="E163" s="264"/>
      <c r="F163" s="264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66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/>
      <c r="D166" s="264"/>
      <c r="E166" s="264"/>
      <c r="F166" s="264"/>
      <c r="G166" s="264"/>
      <c r="H166" s="264"/>
      <c r="I166" s="264"/>
      <c r="J166" s="66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66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264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264"/>
      <c r="Z169" s="264"/>
      <c r="AA169" s="264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66"/>
      <c r="BC169" s="264"/>
      <c r="BD169" s="264"/>
      <c r="BE169" s="264"/>
      <c r="BF169" s="264"/>
      <c r="BG169" s="264"/>
      <c r="BH169" s="66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264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/>
      <c r="D172" s="264"/>
      <c r="E172" s="264"/>
      <c r="F172" s="66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264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66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66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66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264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66"/>
      <c r="AV175" s="264"/>
      <c r="AW175" s="264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264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66"/>
      <c r="DV175" s="264"/>
      <c r="DW175" s="66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66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66"/>
      <c r="X178" s="264"/>
      <c r="Y178" s="66"/>
      <c r="Z178" s="264"/>
      <c r="AA178" s="66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66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66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66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4" t="s">
        <v>413</v>
      </c>
      <c r="C181" s="264"/>
      <c r="D181" s="264"/>
      <c r="E181" s="264"/>
      <c r="F181" s="264"/>
      <c r="G181" s="264"/>
      <c r="H181" s="264"/>
      <c r="I181" s="264"/>
      <c r="J181" s="66"/>
      <c r="K181" s="264"/>
      <c r="L181" s="264"/>
      <c r="M181" s="264"/>
      <c r="N181" s="264"/>
      <c r="O181" s="264"/>
      <c r="P181" s="264"/>
      <c r="Q181" s="264"/>
      <c r="R181" s="264"/>
      <c r="S181" s="264"/>
      <c r="T181" s="66"/>
      <c r="U181" s="264"/>
      <c r="V181" s="264"/>
      <c r="W181" s="264"/>
      <c r="X181" s="264"/>
      <c r="Y181" s="66"/>
      <c r="Z181" s="264"/>
      <c r="AA181" s="66"/>
      <c r="AB181" s="264"/>
      <c r="AC181" s="264"/>
      <c r="AD181" s="264"/>
      <c r="AE181" s="264"/>
      <c r="AF181" s="264"/>
      <c r="AG181" s="66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264"/>
      <c r="AS181" s="264"/>
      <c r="AT181" s="264"/>
      <c r="AU181" s="66"/>
      <c r="AV181" s="264"/>
      <c r="AW181" s="66"/>
      <c r="AX181" s="264"/>
      <c r="AY181" s="66"/>
      <c r="AZ181" s="66"/>
      <c r="BA181" s="264"/>
      <c r="BB181" s="66"/>
      <c r="BC181" s="264"/>
      <c r="BD181" s="264"/>
      <c r="BE181" s="264"/>
      <c r="BF181" s="264"/>
      <c r="BG181" s="264"/>
      <c r="BH181" s="66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264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66"/>
      <c r="I184" s="264"/>
      <c r="J184" s="66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264"/>
      <c r="AB184" s="264"/>
      <c r="AC184" s="264"/>
      <c r="AD184" s="264"/>
      <c r="AE184" s="66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66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/>
      <c r="D187" s="264"/>
      <c r="E187" s="264"/>
      <c r="F187" s="264"/>
      <c r="G187" s="264"/>
      <c r="H187" s="264"/>
      <c r="I187" s="264"/>
      <c r="J187" s="66"/>
      <c r="K187" s="264"/>
      <c r="L187" s="66"/>
      <c r="M187" s="264"/>
      <c r="N187" s="264"/>
      <c r="O187" s="264"/>
      <c r="P187" s="264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66"/>
      <c r="AU187" s="66"/>
      <c r="AV187" s="264"/>
      <c r="AW187" s="66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66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66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66"/>
      <c r="S190" s="264"/>
      <c r="T190" s="264"/>
      <c r="U190" s="264"/>
      <c r="V190" s="264"/>
      <c r="W190" s="264"/>
      <c r="X190" s="264"/>
      <c r="Y190" s="264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264"/>
      <c r="AQ190" s="264"/>
      <c r="AR190" s="264"/>
      <c r="AS190" s="264"/>
      <c r="AT190" s="264"/>
      <c r="AU190" s="264"/>
      <c r="AV190" s="264"/>
      <c r="AW190" s="264"/>
      <c r="AX190" s="264"/>
      <c r="AY190" s="264"/>
      <c r="AZ190" s="264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264"/>
      <c r="K193" s="264"/>
      <c r="L193" s="66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66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264"/>
      <c r="AQ193" s="264"/>
      <c r="AR193" s="264"/>
      <c r="AS193" s="264"/>
      <c r="AT193" s="264"/>
      <c r="AU193" s="264"/>
      <c r="AV193" s="264"/>
      <c r="AW193" s="264"/>
      <c r="AX193" s="264"/>
      <c r="AY193" s="264"/>
      <c r="AZ193" s="264"/>
      <c r="BA193" s="264"/>
      <c r="BB193" s="66"/>
      <c r="BC193" s="264"/>
      <c r="BD193" s="264"/>
      <c r="BE193" s="264"/>
      <c r="BF193" s="264"/>
      <c r="BG193" s="264"/>
      <c r="BH193" s="66"/>
      <c r="BI193" s="264"/>
      <c r="BJ193" s="264"/>
      <c r="BK193" s="264"/>
      <c r="BL193" s="264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66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264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264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4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66"/>
      <c r="S196" s="264"/>
      <c r="T196" s="264"/>
      <c r="U196" s="264"/>
      <c r="V196" s="264"/>
      <c r="W196" s="66"/>
      <c r="X196" s="264"/>
      <c r="Y196" s="264"/>
      <c r="Z196" s="264"/>
      <c r="AA196" s="66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66"/>
      <c r="AL196" s="264"/>
      <c r="AM196" s="264"/>
      <c r="AN196" s="264"/>
      <c r="AO196" s="264"/>
      <c r="AP196" s="66"/>
      <c r="AQ196" s="264"/>
      <c r="AR196" s="264"/>
      <c r="AS196" s="264"/>
      <c r="AT196" s="264"/>
      <c r="AU196" s="66"/>
      <c r="AV196" s="264"/>
      <c r="AW196" s="66"/>
      <c r="AX196" s="264"/>
      <c r="AY196" s="66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264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66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264"/>
      <c r="DT196" s="264"/>
      <c r="DU196" s="264"/>
      <c r="DV196" s="264"/>
      <c r="DW196" s="264"/>
      <c r="DX196" s="264"/>
      <c r="DY196" s="66"/>
      <c r="DZ196" s="264"/>
      <c r="EA196" s="66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4" t="s">
        <v>416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66"/>
      <c r="AU199" s="66"/>
      <c r="AV199" s="264"/>
      <c r="AW199" s="66"/>
      <c r="AX199" s="264"/>
      <c r="AY199" s="264"/>
      <c r="AZ199" s="66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264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264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4" t="s">
        <v>490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66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66"/>
      <c r="AQ202" s="264"/>
      <c r="AR202" s="264"/>
      <c r="AS202" s="264"/>
      <c r="AT202" s="66"/>
      <c r="AU202" s="264"/>
      <c r="AV202" s="264"/>
      <c r="AW202" s="66"/>
      <c r="AX202" s="264"/>
      <c r="AY202" s="264"/>
      <c r="AZ202" s="66"/>
      <c r="BA202" s="264"/>
      <c r="BB202" s="264"/>
      <c r="BC202" s="264"/>
      <c r="BD202" s="264"/>
      <c r="BE202" s="66"/>
      <c r="BF202" s="264"/>
      <c r="BG202" s="264"/>
      <c r="BH202" s="264"/>
      <c r="BI202" s="264"/>
      <c r="BJ202" s="264"/>
      <c r="BK202" s="264"/>
      <c r="BL202" s="264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66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66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66"/>
      <c r="AP205" s="66"/>
      <c r="AQ205" s="264"/>
      <c r="AR205" s="264"/>
      <c r="AS205" s="264"/>
      <c r="AT205" s="66"/>
      <c r="AU205" s="66"/>
      <c r="AV205" s="264"/>
      <c r="AW205" s="264"/>
      <c r="AX205" s="264"/>
      <c r="AY205" s="264"/>
      <c r="AZ205" s="66"/>
      <c r="BA205" s="264"/>
      <c r="BB205" s="264"/>
      <c r="BC205" s="264"/>
      <c r="BD205" s="264"/>
      <c r="BE205" s="264"/>
      <c r="BF205" s="264"/>
      <c r="BG205" s="264"/>
      <c r="BH205" s="264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4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66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66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66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66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  <c r="AM211" s="264"/>
      <c r="AN211" s="264"/>
      <c r="AO211" s="264"/>
      <c r="AP211" s="264"/>
      <c r="AQ211" s="264"/>
      <c r="AR211" s="66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66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66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264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66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/>
      <c r="D214" s="264"/>
      <c r="E214" s="264"/>
      <c r="F214" s="264"/>
      <c r="G214" s="264"/>
      <c r="H214" s="264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66"/>
      <c r="AH214" s="264"/>
      <c r="AI214" s="264"/>
      <c r="AJ214" s="264"/>
      <c r="AK214" s="264"/>
      <c r="AL214" s="264"/>
      <c r="AM214" s="264"/>
      <c r="AN214" s="264"/>
      <c r="AO214" s="264"/>
      <c r="AP214" s="264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66"/>
      <c r="BA214" s="264"/>
      <c r="BB214" s="66"/>
      <c r="BC214" s="264"/>
      <c r="BD214" s="264"/>
      <c r="BE214" s="264"/>
      <c r="BF214" s="66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66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264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66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264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264"/>
      <c r="Q220" s="264"/>
      <c r="R220" s="264"/>
      <c r="S220" s="264"/>
      <c r="T220" s="264"/>
      <c r="U220" s="264"/>
      <c r="V220" s="264"/>
      <c r="W220" s="264"/>
      <c r="X220" s="264"/>
      <c r="Y220" s="264"/>
      <c r="Z220" s="264"/>
      <c r="AA220" s="66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66"/>
      <c r="AL220" s="264"/>
      <c r="AM220" s="264"/>
      <c r="AN220" s="264"/>
      <c r="AO220" s="264"/>
      <c r="AP220" s="264"/>
      <c r="AQ220" s="264"/>
      <c r="AR220" s="264"/>
      <c r="AS220" s="264"/>
      <c r="AT220" s="66"/>
      <c r="AU220" s="66"/>
      <c r="AV220" s="264"/>
      <c r="AW220" s="264"/>
      <c r="AX220" s="264"/>
      <c r="AY220" s="264"/>
      <c r="AZ220" s="264"/>
      <c r="BA220" s="264"/>
      <c r="BB220" s="264"/>
      <c r="BC220" s="264"/>
      <c r="BD220" s="264"/>
      <c r="BE220" s="66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/>
      <c r="D223" s="66"/>
      <c r="E223" s="264"/>
      <c r="F223" s="264"/>
      <c r="G223" s="264"/>
      <c r="H223" s="66"/>
      <c r="I223" s="264"/>
      <c r="J223" s="264"/>
      <c r="K223" s="264"/>
      <c r="L223" s="66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66"/>
      <c r="X223" s="264"/>
      <c r="Y223" s="66"/>
      <c r="Z223" s="264"/>
      <c r="AA223" s="66"/>
      <c r="AB223" s="264"/>
      <c r="AC223" s="264"/>
      <c r="AD223" s="264"/>
      <c r="AE223" s="66"/>
      <c r="AF223" s="264"/>
      <c r="AG223" s="66"/>
      <c r="AH223" s="264"/>
      <c r="AI223" s="264"/>
      <c r="AJ223" s="264"/>
      <c r="AK223" s="264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66"/>
      <c r="BA223" s="264"/>
      <c r="BB223" s="264"/>
      <c r="BC223" s="264"/>
      <c r="BD223" s="264"/>
      <c r="BE223" s="66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264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264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66"/>
      <c r="Q226" s="264"/>
      <c r="R226" s="264"/>
      <c r="S226" s="264"/>
      <c r="T226" s="264"/>
      <c r="U226" s="264"/>
      <c r="V226" s="264"/>
      <c r="W226" s="264"/>
      <c r="X226" s="264"/>
      <c r="Y226" s="264"/>
      <c r="Z226" s="264"/>
      <c r="AA226" s="264"/>
      <c r="AB226" s="264"/>
      <c r="AC226" s="264"/>
      <c r="AD226" s="264"/>
      <c r="AE226" s="264"/>
      <c r="AF226" s="264"/>
      <c r="AG226" s="66"/>
      <c r="AH226" s="264"/>
      <c r="AI226" s="264"/>
      <c r="AJ226" s="264"/>
      <c r="AK226" s="264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264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264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/>
      <c r="D232" s="264"/>
      <c r="E232" s="264"/>
      <c r="F232" s="264"/>
      <c r="G232" s="264"/>
      <c r="H232" s="264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  <c r="AA232" s="264"/>
      <c r="AB232" s="264"/>
      <c r="AC232" s="264"/>
      <c r="AD232" s="264"/>
      <c r="AE232" s="66"/>
      <c r="AF232" s="264"/>
      <c r="AG232" s="264"/>
      <c r="AH232" s="264"/>
      <c r="AI232" s="264"/>
      <c r="AJ232" s="264"/>
      <c r="AK232" s="66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66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264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4" t="s">
        <v>419</v>
      </c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66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66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264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264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66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66"/>
      <c r="G238" s="264"/>
      <c r="H238" s="264"/>
      <c r="I238" s="264"/>
      <c r="J238" s="66"/>
      <c r="K238" s="264"/>
      <c r="L238" s="264"/>
      <c r="M238" s="264"/>
      <c r="N238" s="264"/>
      <c r="O238" s="264"/>
      <c r="P238" s="264"/>
      <c r="Q238" s="264"/>
      <c r="R238" s="66"/>
      <c r="S238" s="264"/>
      <c r="T238" s="264"/>
      <c r="U238" s="264"/>
      <c r="V238" s="264"/>
      <c r="W238" s="66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66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/>
      <c r="D241" s="264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264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264"/>
      <c r="BA241" s="264"/>
      <c r="BB241" s="264"/>
      <c r="BC241" s="264"/>
      <c r="BD241" s="264"/>
      <c r="BE241" s="264"/>
      <c r="BF241" s="264"/>
      <c r="BG241" s="264"/>
      <c r="BH241" s="66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264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/>
      <c r="D244" s="264"/>
      <c r="E244" s="264"/>
      <c r="F244" s="66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264"/>
      <c r="S244" s="264"/>
      <c r="T244" s="66"/>
      <c r="U244" s="264"/>
      <c r="V244" s="264"/>
      <c r="W244" s="264"/>
      <c r="X244" s="264"/>
      <c r="Y244" s="264"/>
      <c r="Z244" s="264"/>
      <c r="AA244" s="66"/>
      <c r="AB244" s="264"/>
      <c r="AC244" s="264"/>
      <c r="AD244" s="264"/>
      <c r="AE244" s="66"/>
      <c r="AF244" s="264"/>
      <c r="AG244" s="66"/>
      <c r="AH244" s="264"/>
      <c r="AI244" s="264"/>
      <c r="AJ244" s="264"/>
      <c r="AK244" s="66"/>
      <c r="AL244" s="264"/>
      <c r="AM244" s="264"/>
      <c r="AN244" s="264"/>
      <c r="AO244" s="264"/>
      <c r="AP244" s="264"/>
      <c r="AQ244" s="264"/>
      <c r="AR244" s="264"/>
      <c r="AS244" s="264"/>
      <c r="AT244" s="264"/>
      <c r="AU244" s="66"/>
      <c r="AV244" s="264"/>
      <c r="AW244" s="264"/>
      <c r="AX244" s="264"/>
      <c r="AY244" s="264"/>
      <c r="AZ244" s="66"/>
      <c r="BA244" s="264"/>
      <c r="BB244" s="264"/>
      <c r="BC244" s="264"/>
      <c r="BD244" s="264"/>
      <c r="BE244" s="66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264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264"/>
      <c r="S247" s="264"/>
      <c r="T247" s="264"/>
      <c r="U247" s="264"/>
      <c r="V247" s="264"/>
      <c r="W247" s="66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66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66"/>
      <c r="AU247" s="264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66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66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4" t="s">
        <v>421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264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4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66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264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66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66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66"/>
      <c r="DX256" s="264"/>
      <c r="DY256" s="66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H259" s="66"/>
      <c r="J259" s="66"/>
      <c r="AP259" s="66"/>
      <c r="AU259" s="66"/>
      <c r="AZ259" s="66"/>
      <c r="BE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BL261" s="66"/>
      <c r="CT261" s="66"/>
      <c r="ED261" s="66"/>
    </row>
    <row r="262" spans="1:151">
      <c r="A262" s="160"/>
      <c r="B262" s="160"/>
      <c r="F262" s="66"/>
      <c r="H262" s="66"/>
      <c r="J262" s="66"/>
      <c r="P262" s="66"/>
      <c r="T262" s="66"/>
      <c r="W262" s="66"/>
      <c r="Y262" s="66"/>
      <c r="AA262" s="66"/>
      <c r="AE262" s="66"/>
      <c r="AK262" s="66"/>
      <c r="AO262" s="66"/>
      <c r="AP262" s="66"/>
      <c r="AU262" s="66"/>
      <c r="AY262" s="66"/>
      <c r="AZ262" s="66"/>
      <c r="BB262" s="66"/>
      <c r="BE262" s="66"/>
      <c r="BH262" s="66"/>
      <c r="BK262" s="66"/>
      <c r="BL262" s="66"/>
    </row>
    <row r="263" spans="1:151">
      <c r="A263" s="160"/>
      <c r="B263" s="160"/>
    </row>
    <row r="264" spans="1:151">
      <c r="A264" s="160"/>
      <c r="B264" s="160"/>
      <c r="AU264" s="66"/>
      <c r="BL264" s="66"/>
    </row>
    <row r="265" spans="1:151">
      <c r="A265" s="160"/>
      <c r="B265" s="160"/>
      <c r="AZ265" s="66"/>
      <c r="BL265" s="66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  <c r="ED267" s="66"/>
    </row>
    <row r="268" spans="1:151">
      <c r="A268" s="160"/>
      <c r="B268" s="160"/>
      <c r="D268" s="66"/>
      <c r="F268" s="66"/>
      <c r="H268" s="66"/>
      <c r="J268" s="66"/>
      <c r="P268" s="66"/>
      <c r="T268" s="66"/>
      <c r="Y268" s="66"/>
      <c r="AA268" s="66"/>
      <c r="AE268" s="66"/>
      <c r="AG268" s="66"/>
      <c r="AO268" s="66"/>
      <c r="AR268" s="66"/>
      <c r="AU268" s="66"/>
      <c r="AW268" s="66"/>
      <c r="AZ268" s="66"/>
      <c r="BB268" s="66"/>
      <c r="BH268" s="66"/>
      <c r="BK268" s="66"/>
      <c r="BL268" s="66"/>
      <c r="CT268" s="66"/>
      <c r="DI268" s="66"/>
      <c r="DS268" s="66"/>
      <c r="DU268" s="66"/>
      <c r="EC268" s="66"/>
    </row>
    <row r="269" spans="1:151">
      <c r="A269" s="160"/>
      <c r="B269" s="160"/>
    </row>
    <row r="270" spans="1:151"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</row>
    <row r="271" spans="1:151"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</row>
    <row r="272" spans="1:151"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EA45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161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1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1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3"/>
      <c r="AC4" s="363"/>
      <c r="AD4" s="7" t="s">
        <v>0</v>
      </c>
      <c r="AE4" s="7" t="s">
        <v>236</v>
      </c>
      <c r="AF4" s="7" t="s">
        <v>0</v>
      </c>
      <c r="AG4" s="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1" s="6" customFormat="1">
      <c r="A5" s="367"/>
      <c r="B5" s="368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3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66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3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3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66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  <c r="AM10" s="264"/>
      <c r="AN10" s="264"/>
      <c r="AO10" s="264"/>
      <c r="AP10" s="264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66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3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3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66"/>
      <c r="AQ12" s="264"/>
      <c r="AR12" s="264"/>
      <c r="AS12" s="264"/>
      <c r="AT12" s="264"/>
      <c r="AU12" s="66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3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66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3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66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66"/>
      <c r="AQ16" s="264"/>
      <c r="AR16" s="264"/>
      <c r="AS16" s="264"/>
      <c r="AT16" s="264"/>
      <c r="AU16" s="66"/>
      <c r="AV16" s="264"/>
      <c r="AW16" s="264"/>
      <c r="AX16" s="264"/>
      <c r="AY16" s="264"/>
      <c r="AZ16" s="66"/>
      <c r="BA16" s="264"/>
      <c r="BB16" s="66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3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3" t="s">
        <v>1143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66"/>
      <c r="Z19" s="264"/>
      <c r="AA19" s="66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3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3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3" t="s">
        <v>1145</v>
      </c>
      <c r="C22" s="264"/>
      <c r="D22" s="264"/>
      <c r="E22" s="264"/>
      <c r="F22" s="264"/>
      <c r="G22" s="264"/>
      <c r="H22" s="264"/>
      <c r="I22" s="264"/>
      <c r="J22" s="66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66"/>
      <c r="Z22" s="264"/>
      <c r="AA22" s="66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66"/>
      <c r="AV22" s="264"/>
      <c r="AW22" s="264"/>
      <c r="AX22" s="264"/>
      <c r="AY22" s="264"/>
      <c r="AZ22" s="66"/>
      <c r="BA22" s="264"/>
      <c r="BB22" s="66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3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66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3" t="s">
        <v>1146</v>
      </c>
      <c r="C25" s="264"/>
      <c r="D25" s="66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66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66"/>
      <c r="AV25" s="264"/>
      <c r="AW25" s="264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3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66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3" t="s">
        <v>465</v>
      </c>
      <c r="C28" s="264"/>
      <c r="D28" s="66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66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264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264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3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3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3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66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3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264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3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66"/>
      <c r="AP34" s="66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3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3" t="s">
        <v>1152</v>
      </c>
      <c r="C37" s="264"/>
      <c r="D37" s="66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66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  <c r="AG37" s="66"/>
      <c r="AH37" s="264"/>
      <c r="AI37" s="264"/>
      <c r="AJ37" s="264"/>
      <c r="AK37" s="264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264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264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3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66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3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3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3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66"/>
      <c r="AB43" s="264"/>
      <c r="AC43" s="264"/>
      <c r="AD43" s="264"/>
      <c r="AE43" s="264"/>
      <c r="AF43" s="264"/>
      <c r="AG43" s="264"/>
      <c r="AH43" s="264"/>
      <c r="AI43" s="264"/>
      <c r="AJ43" s="264"/>
      <c r="AK43" s="66"/>
      <c r="AL43" s="264"/>
      <c r="AM43" s="264"/>
      <c r="AN43" s="264"/>
      <c r="AO43" s="264"/>
      <c r="AP43" s="264"/>
      <c r="AQ43" s="264"/>
      <c r="AR43" s="264"/>
      <c r="AS43" s="264"/>
      <c r="AT43" s="264"/>
      <c r="AU43" s="66"/>
      <c r="AV43" s="264"/>
      <c r="AW43" s="66"/>
      <c r="AX43" s="264"/>
      <c r="AY43" s="264"/>
      <c r="AZ43" s="264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66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3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66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3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264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3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3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264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3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3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66"/>
      <c r="BG51" s="264"/>
      <c r="BH51" s="264"/>
      <c r="BI51" s="264"/>
      <c r="BJ51" s="264"/>
      <c r="BK51" s="264"/>
      <c r="BL51" s="264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3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66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3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264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3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66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3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264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66"/>
      <c r="AJ58" s="264"/>
      <c r="AK58" s="264"/>
      <c r="AL58" s="264"/>
      <c r="AM58" s="264"/>
      <c r="AN58" s="264"/>
      <c r="AO58" s="66"/>
      <c r="AP58" s="264"/>
      <c r="AQ58" s="264"/>
      <c r="AR58" s="66"/>
      <c r="AS58" s="264"/>
      <c r="AT58" s="264"/>
      <c r="AU58" s="66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66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3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3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3" t="s">
        <v>1166</v>
      </c>
      <c r="C64" s="264"/>
      <c r="D64" s="264"/>
      <c r="E64" s="264"/>
      <c r="F64" s="264"/>
      <c r="G64" s="264"/>
      <c r="H64" s="66"/>
      <c r="I64" s="264"/>
      <c r="J64" s="264"/>
      <c r="K64" s="264"/>
      <c r="L64" s="264"/>
      <c r="M64" s="264"/>
      <c r="N64" s="264"/>
      <c r="O64" s="264"/>
      <c r="P64" s="66"/>
      <c r="Q64" s="264"/>
      <c r="R64" s="264"/>
      <c r="S64" s="264"/>
      <c r="T64" s="66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66"/>
      <c r="AF64" s="264"/>
      <c r="AG64" s="264"/>
      <c r="AH64" s="264"/>
      <c r="AI64" s="66"/>
      <c r="AJ64" s="264"/>
      <c r="AK64" s="264"/>
      <c r="AL64" s="264"/>
      <c r="AM64" s="264"/>
      <c r="AN64" s="264"/>
      <c r="AO64" s="66"/>
      <c r="AP64" s="264"/>
      <c r="AQ64" s="264"/>
      <c r="AR64" s="264"/>
      <c r="AS64" s="264"/>
      <c r="AT64" s="264"/>
      <c r="AU64" s="66"/>
      <c r="AV64" s="264"/>
      <c r="AW64" s="264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3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66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66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3" t="s">
        <v>1169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66"/>
      <c r="AL67" s="264"/>
      <c r="AM67" s="264"/>
      <c r="AN67" s="264"/>
      <c r="AO67" s="264"/>
      <c r="AP67" s="264"/>
      <c r="AQ67" s="264"/>
      <c r="AR67" s="264"/>
      <c r="AS67" s="264"/>
      <c r="AT67" s="264"/>
      <c r="AU67" s="66"/>
      <c r="AV67" s="264"/>
      <c r="AW67" s="264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264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3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3" t="s">
        <v>1171</v>
      </c>
      <c r="C70" s="264"/>
      <c r="D70" s="264"/>
      <c r="E70" s="264"/>
      <c r="F70" s="264"/>
      <c r="G70" s="264"/>
      <c r="H70" s="66"/>
      <c r="I70" s="264"/>
      <c r="J70" s="264"/>
      <c r="K70" s="264"/>
      <c r="L70" s="66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66"/>
      <c r="AL70" s="264"/>
      <c r="AM70" s="264"/>
      <c r="AN70" s="264"/>
      <c r="AO70" s="66"/>
      <c r="AP70" s="264"/>
      <c r="AQ70" s="264"/>
      <c r="AR70" s="66"/>
      <c r="AS70" s="264"/>
      <c r="AT70" s="264"/>
      <c r="AU70" s="66"/>
      <c r="AV70" s="264"/>
      <c r="AW70" s="66"/>
      <c r="AX70" s="264"/>
      <c r="AY70" s="264"/>
      <c r="AZ70" s="264"/>
      <c r="BA70" s="264"/>
      <c r="BB70" s="66"/>
      <c r="BC70" s="264"/>
      <c r="BD70" s="264"/>
      <c r="BE70" s="264"/>
      <c r="BF70" s="264"/>
      <c r="BG70" s="264"/>
      <c r="BH70" s="264"/>
      <c r="BI70" s="264"/>
      <c r="BJ70" s="264"/>
      <c r="BK70" s="264"/>
      <c r="BL70" s="264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264"/>
      <c r="CU70" s="264"/>
      <c r="CV70" s="264"/>
      <c r="CW70" s="264"/>
      <c r="CX70" s="66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3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66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66"/>
      <c r="AS73" s="264"/>
      <c r="AT73" s="264"/>
      <c r="AU73" s="66"/>
      <c r="AV73" s="264"/>
      <c r="AW73" s="264"/>
      <c r="AX73" s="264"/>
      <c r="AY73" s="264"/>
      <c r="AZ73" s="264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66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3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66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66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66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3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66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3" t="s">
        <v>1169</v>
      </c>
      <c r="C79" s="264"/>
      <c r="D79" s="264"/>
      <c r="E79" s="264"/>
      <c r="F79" s="264"/>
      <c r="G79" s="264"/>
      <c r="H79" s="66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66"/>
      <c r="AP79" s="264"/>
      <c r="AQ79" s="264"/>
      <c r="AR79" s="264"/>
      <c r="AS79" s="264"/>
      <c r="AT79" s="264"/>
      <c r="AU79" s="66"/>
      <c r="AV79" s="264"/>
      <c r="AW79" s="66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66"/>
      <c r="BL79" s="264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3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3" t="s">
        <v>1171</v>
      </c>
      <c r="C82" s="264"/>
      <c r="D82" s="264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66"/>
      <c r="X82" s="264"/>
      <c r="Y82" s="66"/>
      <c r="Z82" s="264"/>
      <c r="AA82" s="264"/>
      <c r="AB82" s="264"/>
      <c r="AC82" s="264"/>
      <c r="AD82" s="264"/>
      <c r="AE82" s="66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66"/>
      <c r="AV82" s="264"/>
      <c r="AW82" s="264"/>
      <c r="AX82" s="264"/>
      <c r="AY82" s="264"/>
      <c r="AZ82" s="264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3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3" t="s">
        <v>1171</v>
      </c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66"/>
      <c r="S85" s="264"/>
      <c r="T85" s="264"/>
      <c r="U85" s="264"/>
      <c r="V85" s="264"/>
      <c r="W85" s="66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66"/>
      <c r="BG85" s="264"/>
      <c r="BH85" s="264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66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3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3" t="s">
        <v>1171</v>
      </c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66"/>
      <c r="AJ88" s="264"/>
      <c r="AK88" s="264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66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264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3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66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264"/>
      <c r="S91" s="264"/>
      <c r="T91" s="66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264"/>
      <c r="AS91" s="264"/>
      <c r="AT91" s="66"/>
      <c r="AU91" s="264"/>
      <c r="AV91" s="264"/>
      <c r="AW91" s="264"/>
      <c r="AX91" s="264"/>
      <c r="AY91" s="264"/>
      <c r="AZ91" s="66"/>
      <c r="BA91" s="264"/>
      <c r="BB91" s="264"/>
      <c r="BC91" s="264"/>
      <c r="BD91" s="264"/>
      <c r="BE91" s="66"/>
      <c r="BF91" s="66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3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264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66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3" t="s">
        <v>1184</v>
      </c>
      <c r="C94" s="264"/>
      <c r="D94" s="264"/>
      <c r="E94" s="264"/>
      <c r="F94" s="264"/>
      <c r="G94" s="264"/>
      <c r="H94" s="66"/>
      <c r="I94" s="264"/>
      <c r="J94" s="264"/>
      <c r="K94" s="264"/>
      <c r="L94" s="66"/>
      <c r="M94" s="264"/>
      <c r="N94" s="264"/>
      <c r="O94" s="264"/>
      <c r="P94" s="66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66"/>
      <c r="BG94" s="264"/>
      <c r="BH94" s="264"/>
      <c r="BI94" s="264"/>
      <c r="BJ94" s="264"/>
      <c r="BK94" s="66"/>
      <c r="BL94" s="66"/>
      <c r="BM94" s="264"/>
      <c r="BN94" s="66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66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66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  <c r="AM97" s="264"/>
      <c r="AN97" s="264"/>
      <c r="AO97" s="264"/>
      <c r="AP97" s="66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264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3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264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264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66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264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66"/>
      <c r="DT100" s="264"/>
      <c r="DU100" s="264"/>
      <c r="DV100" s="264"/>
      <c r="DW100" s="264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3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3" t="s">
        <v>1189</v>
      </c>
      <c r="C103" s="264"/>
      <c r="D103" s="264"/>
      <c r="E103" s="264"/>
      <c r="F103" s="264"/>
      <c r="G103" s="264"/>
      <c r="H103" s="264"/>
      <c r="I103" s="264"/>
      <c r="J103" s="66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66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264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3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66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264"/>
      <c r="AQ105" s="264"/>
      <c r="AR105" s="264"/>
      <c r="AS105" s="264"/>
      <c r="AT105" s="264"/>
      <c r="AU105" s="264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3" t="s">
        <v>1190</v>
      </c>
      <c r="C106" s="264"/>
      <c r="D106" s="264"/>
      <c r="E106" s="264"/>
      <c r="F106" s="66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66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264"/>
      <c r="AS106" s="264"/>
      <c r="AT106" s="264"/>
      <c r="AU106" s="66"/>
      <c r="AV106" s="264"/>
      <c r="AW106" s="264"/>
      <c r="AX106" s="264"/>
      <c r="AY106" s="66"/>
      <c r="AZ106" s="66"/>
      <c r="BA106" s="264"/>
      <c r="BB106" s="66"/>
      <c r="BC106" s="264"/>
      <c r="BD106" s="264"/>
      <c r="BE106" s="66"/>
      <c r="BF106" s="264"/>
      <c r="BG106" s="264"/>
      <c r="BH106" s="264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66"/>
      <c r="DT106" s="264"/>
      <c r="DU106" s="66"/>
      <c r="DV106" s="264"/>
      <c r="DW106" s="264"/>
      <c r="DX106" s="264"/>
      <c r="DY106" s="264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3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66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3" t="s">
        <v>1192</v>
      </c>
      <c r="C109" s="264"/>
      <c r="D109" s="66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66"/>
      <c r="AL109" s="264"/>
      <c r="AM109" s="264"/>
      <c r="AN109" s="264"/>
      <c r="AO109" s="264"/>
      <c r="AP109" s="264"/>
      <c r="AQ109" s="264"/>
      <c r="AR109" s="264"/>
      <c r="AS109" s="264"/>
      <c r="AT109" s="264"/>
      <c r="AU109" s="66"/>
      <c r="AV109" s="264"/>
      <c r="AW109" s="264"/>
      <c r="AX109" s="264"/>
      <c r="AY109" s="66"/>
      <c r="AZ109" s="66"/>
      <c r="BA109" s="264"/>
      <c r="BB109" s="264"/>
      <c r="BC109" s="264"/>
      <c r="BD109" s="264"/>
      <c r="BE109" s="66"/>
      <c r="BF109" s="264"/>
      <c r="BG109" s="264"/>
      <c r="BH109" s="66"/>
      <c r="BI109" s="264"/>
      <c r="BJ109" s="264"/>
      <c r="BK109" s="264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3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3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66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66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3" t="s">
        <v>1194</v>
      </c>
      <c r="C112" s="264"/>
      <c r="D112" s="264"/>
      <c r="E112" s="264"/>
      <c r="F112" s="66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66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3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264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66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66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264"/>
      <c r="AQ115" s="264"/>
      <c r="AR115" s="66"/>
      <c r="AS115" s="264"/>
      <c r="AT115" s="264"/>
      <c r="AU115" s="66"/>
      <c r="AV115" s="264"/>
      <c r="AW115" s="264"/>
      <c r="AX115" s="264"/>
      <c r="AY115" s="264"/>
      <c r="AZ115" s="66"/>
      <c r="BA115" s="264"/>
      <c r="BB115" s="264"/>
      <c r="BC115" s="264"/>
      <c r="BD115" s="264"/>
      <c r="BE115" s="66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66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3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3" t="s">
        <v>465</v>
      </c>
      <c r="C118" s="264"/>
      <c r="D118" s="66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4"/>
      <c r="T118" s="264"/>
      <c r="U118" s="264"/>
      <c r="V118" s="264"/>
      <c r="W118" s="264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66"/>
      <c r="BF118" s="264"/>
      <c r="BG118" s="264"/>
      <c r="BH118" s="264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3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3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264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3" t="s">
        <v>1141</v>
      </c>
      <c r="C121" s="264"/>
      <c r="D121" s="264"/>
      <c r="E121" s="264"/>
      <c r="F121" s="264"/>
      <c r="G121" s="264"/>
      <c r="H121" s="264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66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66"/>
      <c r="BA121" s="264"/>
      <c r="BB121" s="66"/>
      <c r="BC121" s="264"/>
      <c r="BD121" s="264"/>
      <c r="BE121" s="264"/>
      <c r="BF121" s="264"/>
      <c r="BG121" s="264"/>
      <c r="BH121" s="66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3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3" t="s">
        <v>469</v>
      </c>
      <c r="C124" s="264"/>
      <c r="D124" s="264"/>
      <c r="E124" s="264"/>
      <c r="F124" s="66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66"/>
      <c r="S124" s="264"/>
      <c r="T124" s="264"/>
      <c r="U124" s="264"/>
      <c r="V124" s="264"/>
      <c r="W124" s="264"/>
      <c r="X124" s="264"/>
      <c r="Y124" s="264"/>
      <c r="Z124" s="264"/>
      <c r="AA124" s="66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66"/>
      <c r="BC124" s="264"/>
      <c r="BD124" s="264"/>
      <c r="BE124" s="264"/>
      <c r="BF124" s="264"/>
      <c r="BG124" s="264"/>
      <c r="BH124" s="66"/>
      <c r="BI124" s="264"/>
      <c r="BJ124" s="264"/>
      <c r="BK124" s="66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3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264"/>
      <c r="AQ126" s="264"/>
      <c r="AR126" s="264"/>
      <c r="AS126" s="264"/>
      <c r="AT126" s="264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3" t="s">
        <v>465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66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264"/>
      <c r="BA127" s="264"/>
      <c r="BB127" s="66"/>
      <c r="BC127" s="264"/>
      <c r="BD127" s="264"/>
      <c r="BE127" s="66"/>
      <c r="BF127" s="264"/>
      <c r="BG127" s="264"/>
      <c r="BH127" s="66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3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3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3" t="s">
        <v>1200</v>
      </c>
      <c r="C130" s="264"/>
      <c r="D130" s="264"/>
      <c r="E130" s="264"/>
      <c r="F130" s="264"/>
      <c r="G130" s="264"/>
      <c r="H130" s="264"/>
      <c r="I130" s="264"/>
      <c r="J130" s="66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66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66"/>
      <c r="AQ130" s="264"/>
      <c r="AR130" s="264"/>
      <c r="AS130" s="264"/>
      <c r="AT130" s="264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66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3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66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3" t="s">
        <v>405</v>
      </c>
      <c r="C133" s="264"/>
      <c r="D133" s="264"/>
      <c r="E133" s="26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264"/>
      <c r="Q133" s="264"/>
      <c r="R133" s="66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264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264"/>
      <c r="BI133" s="264"/>
      <c r="BJ133" s="264"/>
      <c r="BK133" s="264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3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66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264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3" t="s">
        <v>474</v>
      </c>
      <c r="C136" s="264"/>
      <c r="D136" s="66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66"/>
      <c r="Z136" s="264"/>
      <c r="AA136" s="264"/>
      <c r="AB136" s="264"/>
      <c r="AC136" s="264"/>
      <c r="AD136" s="264"/>
      <c r="AE136" s="264"/>
      <c r="AF136" s="264"/>
      <c r="AG136" s="66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66"/>
      <c r="BC136" s="264"/>
      <c r="BD136" s="264"/>
      <c r="BE136" s="66"/>
      <c r="BF136" s="264"/>
      <c r="BG136" s="264"/>
      <c r="BH136" s="264"/>
      <c r="BI136" s="264"/>
      <c r="BJ136" s="264"/>
      <c r="BK136" s="264"/>
      <c r="BL136" s="264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264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264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66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3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3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264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66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3" t="s">
        <v>1202</v>
      </c>
      <c r="C139" s="264"/>
      <c r="D139" s="264"/>
      <c r="E139" s="264"/>
      <c r="F139" s="66"/>
      <c r="G139" s="264"/>
      <c r="H139" s="264"/>
      <c r="I139" s="264"/>
      <c r="J139" s="66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66"/>
      <c r="Z139" s="264"/>
      <c r="AA139" s="66"/>
      <c r="AB139" s="264"/>
      <c r="AC139" s="264"/>
      <c r="AD139" s="264"/>
      <c r="AE139" s="264"/>
      <c r="AF139" s="264"/>
      <c r="AG139" s="66"/>
      <c r="AH139" s="264"/>
      <c r="AI139" s="264"/>
      <c r="AJ139" s="264"/>
      <c r="AK139" s="264"/>
      <c r="AL139" s="264"/>
      <c r="AM139" s="264"/>
      <c r="AN139" s="264"/>
      <c r="AO139" s="66"/>
      <c r="AP139" s="66"/>
      <c r="AQ139" s="264"/>
      <c r="AR139" s="264"/>
      <c r="AS139" s="264"/>
      <c r="AT139" s="264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3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66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66"/>
      <c r="AL142" s="264"/>
      <c r="AM142" s="264"/>
      <c r="AN142" s="264"/>
      <c r="AO142" s="66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66"/>
      <c r="BC142" s="264"/>
      <c r="BD142" s="264"/>
      <c r="BE142" s="66"/>
      <c r="BF142" s="264"/>
      <c r="BG142" s="264"/>
      <c r="BH142" s="66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264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3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3" t="s">
        <v>477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66"/>
      <c r="U145" s="264"/>
      <c r="V145" s="264"/>
      <c r="W145" s="66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66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3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264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264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3" t="s">
        <v>407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264"/>
      <c r="AX148" s="264"/>
      <c r="AY148" s="66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66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3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3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66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66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66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264"/>
      <c r="DN151" s="264"/>
      <c r="DO151" s="264"/>
      <c r="DP151" s="264"/>
      <c r="DQ151" s="264"/>
      <c r="DR151" s="264"/>
      <c r="DS151" s="66"/>
      <c r="DT151" s="264"/>
      <c r="DU151" s="264"/>
      <c r="DV151" s="264"/>
      <c r="DW151" s="66"/>
      <c r="DX151" s="264"/>
      <c r="DY151" s="264"/>
      <c r="DZ151" s="264"/>
      <c r="EA151" s="66"/>
      <c r="EB151" s="264"/>
      <c r="EC151" s="66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3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66"/>
      <c r="E154" s="264"/>
      <c r="F154" s="264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264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66"/>
      <c r="AQ154" s="264"/>
      <c r="AR154" s="264"/>
      <c r="AS154" s="264"/>
      <c r="AT154" s="264"/>
      <c r="AU154" s="66"/>
      <c r="AV154" s="264"/>
      <c r="AW154" s="66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66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3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3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66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66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3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3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264"/>
      <c r="Q160" s="264"/>
      <c r="R160" s="264"/>
      <c r="S160" s="264"/>
      <c r="T160" s="264"/>
      <c r="U160" s="264"/>
      <c r="V160" s="264"/>
      <c r="W160" s="264"/>
      <c r="X160" s="264"/>
      <c r="Y160" s="66"/>
      <c r="Z160" s="264"/>
      <c r="AA160" s="264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66"/>
      <c r="BC160" s="264"/>
      <c r="BD160" s="264"/>
      <c r="BE160" s="264"/>
      <c r="BF160" s="264"/>
      <c r="BG160" s="264"/>
      <c r="BH160" s="66"/>
      <c r="BI160" s="264"/>
      <c r="BJ160" s="264"/>
      <c r="BK160" s="264"/>
      <c r="BL160" s="264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66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264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66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3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66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3" t="s">
        <v>480</v>
      </c>
      <c r="C163" s="264"/>
      <c r="D163" s="264"/>
      <c r="E163" s="264"/>
      <c r="F163" s="66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264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264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3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3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3" t="s">
        <v>1204</v>
      </c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264"/>
      <c r="AB166" s="264"/>
      <c r="AC166" s="264"/>
      <c r="AD166" s="264"/>
      <c r="AE166" s="264"/>
      <c r="AF166" s="264"/>
      <c r="AG166" s="66"/>
      <c r="AH166" s="264"/>
      <c r="AI166" s="264"/>
      <c r="AJ166" s="264"/>
      <c r="AK166" s="264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264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264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3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3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3" t="s">
        <v>485</v>
      </c>
      <c r="C169" s="264"/>
      <c r="D169" s="66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64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3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3" t="s">
        <v>486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264"/>
      <c r="AQ172" s="264"/>
      <c r="AR172" s="264"/>
      <c r="AS172" s="264"/>
      <c r="AT172" s="264"/>
      <c r="AU172" s="264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66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3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66"/>
      <c r="AV174" s="264"/>
      <c r="AW174" s="264"/>
      <c r="AX174" s="264"/>
      <c r="AY174" s="264"/>
      <c r="AZ174" s="264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264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264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66"/>
      <c r="AV175" s="264"/>
      <c r="AW175" s="66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264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264"/>
      <c r="DT175" s="264"/>
      <c r="DU175" s="264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3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264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66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66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66"/>
      <c r="AP178" s="66"/>
      <c r="AQ178" s="264"/>
      <c r="AR178" s="264"/>
      <c r="AS178" s="264"/>
      <c r="AT178" s="66"/>
      <c r="AU178" s="66"/>
      <c r="AV178" s="264"/>
      <c r="AW178" s="66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3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66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3" t="s">
        <v>413</v>
      </c>
      <c r="C181" s="264"/>
      <c r="D181" s="264"/>
      <c r="E181" s="264"/>
      <c r="F181" s="66"/>
      <c r="G181" s="264"/>
      <c r="H181" s="264"/>
      <c r="I181" s="264"/>
      <c r="J181" s="66"/>
      <c r="K181" s="264"/>
      <c r="L181" s="264"/>
      <c r="M181" s="264"/>
      <c r="N181" s="264"/>
      <c r="O181" s="264"/>
      <c r="P181" s="66"/>
      <c r="Q181" s="264"/>
      <c r="R181" s="264"/>
      <c r="S181" s="264"/>
      <c r="T181" s="264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66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66"/>
      <c r="AS181" s="264"/>
      <c r="AT181" s="264"/>
      <c r="AU181" s="66"/>
      <c r="AV181" s="264"/>
      <c r="AW181" s="66"/>
      <c r="AX181" s="264"/>
      <c r="AY181" s="264"/>
      <c r="AZ181" s="66"/>
      <c r="BA181" s="264"/>
      <c r="BB181" s="66"/>
      <c r="BC181" s="264"/>
      <c r="BD181" s="264"/>
      <c r="BE181" s="66"/>
      <c r="BF181" s="264"/>
      <c r="BG181" s="264"/>
      <c r="BH181" s="66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66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66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3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264"/>
      <c r="I184" s="264"/>
      <c r="J184" s="264"/>
      <c r="K184" s="264"/>
      <c r="L184" s="66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66"/>
      <c r="BC184" s="66"/>
      <c r="BD184" s="264"/>
      <c r="BE184" s="264"/>
      <c r="BF184" s="264"/>
      <c r="BG184" s="264"/>
      <c r="BH184" s="264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3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66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3" t="s">
        <v>414</v>
      </c>
      <c r="C187" s="264"/>
      <c r="D187" s="264"/>
      <c r="E187" s="264"/>
      <c r="F187" s="264"/>
      <c r="G187" s="264"/>
      <c r="H187" s="264"/>
      <c r="I187" s="264"/>
      <c r="J187" s="264"/>
      <c r="K187" s="264"/>
      <c r="L187" s="66"/>
      <c r="M187" s="264"/>
      <c r="N187" s="264"/>
      <c r="O187" s="264"/>
      <c r="P187" s="264"/>
      <c r="Q187" s="264"/>
      <c r="R187" s="264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66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264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3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66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264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66"/>
      <c r="S190" s="264"/>
      <c r="T190" s="264"/>
      <c r="U190" s="264"/>
      <c r="V190" s="264"/>
      <c r="W190" s="66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66"/>
      <c r="AL190" s="264"/>
      <c r="AM190" s="264"/>
      <c r="AN190" s="264"/>
      <c r="AO190" s="264"/>
      <c r="AP190" s="264"/>
      <c r="AQ190" s="264"/>
      <c r="AR190" s="264"/>
      <c r="AS190" s="264"/>
      <c r="AT190" s="264"/>
      <c r="AU190" s="66"/>
      <c r="AV190" s="264"/>
      <c r="AW190" s="264"/>
      <c r="AX190" s="264"/>
      <c r="AY190" s="66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264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3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264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264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66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264"/>
      <c r="AV193" s="264"/>
      <c r="AW193" s="264"/>
      <c r="AX193" s="264"/>
      <c r="AY193" s="264"/>
      <c r="AZ193" s="264"/>
      <c r="BA193" s="264"/>
      <c r="BB193" s="264"/>
      <c r="BC193" s="264"/>
      <c r="BD193" s="264"/>
      <c r="BE193" s="264"/>
      <c r="BF193" s="264"/>
      <c r="BG193" s="264"/>
      <c r="BH193" s="66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3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3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264"/>
      <c r="AS196" s="264"/>
      <c r="AT196" s="264"/>
      <c r="AU196" s="66"/>
      <c r="AV196" s="264"/>
      <c r="AW196" s="66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66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264"/>
      <c r="DT196" s="264"/>
      <c r="DU196" s="264"/>
      <c r="DV196" s="264"/>
      <c r="DW196" s="66"/>
      <c r="DX196" s="264"/>
      <c r="DY196" s="66"/>
      <c r="DZ196" s="264"/>
      <c r="EA196" s="264"/>
      <c r="EB196" s="264"/>
      <c r="EC196" s="66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3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264"/>
      <c r="AV198" s="264"/>
      <c r="AW198" s="264"/>
      <c r="AX198" s="264"/>
      <c r="AY198" s="264"/>
      <c r="AZ198" s="264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3" t="s">
        <v>416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66"/>
      <c r="AU199" s="264"/>
      <c r="AV199" s="264"/>
      <c r="AW199" s="264"/>
      <c r="AX199" s="264"/>
      <c r="AY199" s="264"/>
      <c r="AZ199" s="66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66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3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264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3" t="s">
        <v>490</v>
      </c>
      <c r="C202" s="264"/>
      <c r="D202" s="264"/>
      <c r="E202" s="264"/>
      <c r="F202" s="66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66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66"/>
      <c r="AL202" s="264"/>
      <c r="AM202" s="264"/>
      <c r="AN202" s="264"/>
      <c r="AO202" s="264"/>
      <c r="AP202" s="66"/>
      <c r="AQ202" s="264"/>
      <c r="AR202" s="264"/>
      <c r="AS202" s="264"/>
      <c r="AT202" s="66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3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3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66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3" t="s">
        <v>465</v>
      </c>
      <c r="C205" s="264"/>
      <c r="D205" s="66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66"/>
      <c r="Z205" s="264"/>
      <c r="AA205" s="264"/>
      <c r="AB205" s="264"/>
      <c r="AC205" s="264"/>
      <c r="AD205" s="264"/>
      <c r="AE205" s="264"/>
      <c r="AF205" s="264"/>
      <c r="AG205" s="66"/>
      <c r="AH205" s="264"/>
      <c r="AI205" s="264"/>
      <c r="AJ205" s="264"/>
      <c r="AK205" s="264"/>
      <c r="AL205" s="264"/>
      <c r="AM205" s="264"/>
      <c r="AN205" s="264"/>
      <c r="AO205" s="66"/>
      <c r="AP205" s="66"/>
      <c r="AQ205" s="264"/>
      <c r="AR205" s="264"/>
      <c r="AS205" s="264"/>
      <c r="AT205" s="66"/>
      <c r="AU205" s="66"/>
      <c r="AV205" s="264"/>
      <c r="AW205" s="264"/>
      <c r="AX205" s="264"/>
      <c r="AY205" s="264"/>
      <c r="AZ205" s="66"/>
      <c r="BA205" s="264"/>
      <c r="BB205" s="264"/>
      <c r="BC205" s="264"/>
      <c r="BD205" s="264"/>
      <c r="BE205" s="264"/>
      <c r="BF205" s="264"/>
      <c r="BG205" s="264"/>
      <c r="BH205" s="264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3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3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3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66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66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3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66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66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3" t="s">
        <v>417</v>
      </c>
      <c r="C211" s="264"/>
      <c r="D211" s="66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  <c r="AM211" s="264"/>
      <c r="AN211" s="264"/>
      <c r="AO211" s="264"/>
      <c r="AP211" s="264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3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264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66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3" t="s">
        <v>465</v>
      </c>
      <c r="C214" s="264"/>
      <c r="D214" s="264"/>
      <c r="E214" s="264"/>
      <c r="F214" s="264"/>
      <c r="G214" s="264"/>
      <c r="H214" s="264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66"/>
      <c r="AP214" s="264"/>
      <c r="AQ214" s="264"/>
      <c r="AR214" s="264"/>
      <c r="AS214" s="264"/>
      <c r="AT214" s="264"/>
      <c r="AU214" s="264"/>
      <c r="AV214" s="264"/>
      <c r="AW214" s="66"/>
      <c r="AX214" s="264"/>
      <c r="AY214" s="264"/>
      <c r="AZ214" s="66"/>
      <c r="BA214" s="264"/>
      <c r="BB214" s="66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66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3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3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66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66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3" t="s">
        <v>1145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3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66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66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66"/>
      <c r="Q220" s="264"/>
      <c r="R220" s="66"/>
      <c r="S220" s="264"/>
      <c r="T220" s="66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264"/>
      <c r="AL220" s="264"/>
      <c r="AM220" s="264"/>
      <c r="AN220" s="264"/>
      <c r="AO220" s="264"/>
      <c r="AP220" s="264"/>
      <c r="AQ220" s="264"/>
      <c r="AR220" s="264"/>
      <c r="AS220" s="264"/>
      <c r="AT220" s="264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66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3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3" t="s">
        <v>418</v>
      </c>
      <c r="C223" s="264"/>
      <c r="D223" s="264"/>
      <c r="E223" s="264"/>
      <c r="F223" s="264"/>
      <c r="G223" s="264"/>
      <c r="H223" s="66"/>
      <c r="I223" s="264"/>
      <c r="J223" s="66"/>
      <c r="K223" s="264"/>
      <c r="L223" s="264"/>
      <c r="M223" s="264"/>
      <c r="N223" s="264"/>
      <c r="O223" s="264"/>
      <c r="P223" s="66"/>
      <c r="Q223" s="264"/>
      <c r="R223" s="264"/>
      <c r="S223" s="264"/>
      <c r="T223" s="264"/>
      <c r="U223" s="264"/>
      <c r="V223" s="264"/>
      <c r="W223" s="66"/>
      <c r="X223" s="264"/>
      <c r="Y223" s="264"/>
      <c r="Z223" s="264"/>
      <c r="AA223" s="264"/>
      <c r="AB223" s="264"/>
      <c r="AC223" s="264"/>
      <c r="AD223" s="264"/>
      <c r="AE223" s="66"/>
      <c r="AF223" s="264"/>
      <c r="AG223" s="66"/>
      <c r="AH223" s="264"/>
      <c r="AI223" s="264"/>
      <c r="AJ223" s="264"/>
      <c r="AK223" s="264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66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3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264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264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3" t="s">
        <v>8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66"/>
      <c r="Q226" s="264"/>
      <c r="R226" s="66"/>
      <c r="S226" s="264"/>
      <c r="T226" s="264"/>
      <c r="U226" s="264"/>
      <c r="V226" s="264"/>
      <c r="W226" s="264"/>
      <c r="X226" s="264"/>
      <c r="Y226" s="264"/>
      <c r="Z226" s="264"/>
      <c r="AA226" s="264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264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66"/>
      <c r="BF226" s="264"/>
      <c r="BG226" s="264"/>
      <c r="BH226" s="264"/>
      <c r="BI226" s="264"/>
      <c r="BJ226" s="264"/>
      <c r="BK226" s="264"/>
      <c r="BL226" s="264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3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3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3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3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3" t="s">
        <v>1145</v>
      </c>
      <c r="C232" s="264"/>
      <c r="D232" s="264"/>
      <c r="E232" s="264"/>
      <c r="F232" s="264"/>
      <c r="G232" s="264"/>
      <c r="H232" s="66"/>
      <c r="I232" s="264"/>
      <c r="J232" s="66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66"/>
      <c r="Z232" s="264"/>
      <c r="AA232" s="66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3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66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3" t="s">
        <v>419</v>
      </c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66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264"/>
      <c r="AV235" s="264"/>
      <c r="AW235" s="264"/>
      <c r="AX235" s="264"/>
      <c r="AY235" s="264"/>
      <c r="AZ235" s="264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264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3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264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66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66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3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3" t="s">
        <v>420</v>
      </c>
      <c r="C241" s="264"/>
      <c r="D241" s="264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66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264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3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264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66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3" t="s">
        <v>490</v>
      </c>
      <c r="C244" s="264"/>
      <c r="D244" s="264"/>
      <c r="E244" s="264"/>
      <c r="F244" s="264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  <c r="V244" s="264"/>
      <c r="W244" s="264"/>
      <c r="X244" s="264"/>
      <c r="Y244" s="264"/>
      <c r="Z244" s="264"/>
      <c r="AA244" s="264"/>
      <c r="AB244" s="264"/>
      <c r="AC244" s="264"/>
      <c r="AD244" s="264"/>
      <c r="AE244" s="66"/>
      <c r="AF244" s="264"/>
      <c r="AG244" s="264"/>
      <c r="AH244" s="264"/>
      <c r="AI244" s="264"/>
      <c r="AJ244" s="264"/>
      <c r="AK244" s="66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66"/>
      <c r="AV244" s="264"/>
      <c r="AW244" s="66"/>
      <c r="AX244" s="264"/>
      <c r="AY244" s="264"/>
      <c r="AZ244" s="66"/>
      <c r="BA244" s="264"/>
      <c r="BB244" s="66"/>
      <c r="BC244" s="264"/>
      <c r="BD244" s="264"/>
      <c r="BE244" s="66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3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3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3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264"/>
      <c r="Q247" s="264"/>
      <c r="R247" s="66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66"/>
      <c r="AH247" s="264"/>
      <c r="AI247" s="264"/>
      <c r="AJ247" s="264"/>
      <c r="AK247" s="264"/>
      <c r="AL247" s="264"/>
      <c r="AM247" s="264"/>
      <c r="AN247" s="264"/>
      <c r="AO247" s="66"/>
      <c r="AP247" s="66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3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3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3" t="s">
        <v>465</v>
      </c>
      <c r="C250" s="264"/>
      <c r="D250" s="66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3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3" t="s">
        <v>421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264"/>
      <c r="AQ253" s="264"/>
      <c r="AR253" s="66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3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3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66"/>
      <c r="DX256" s="264"/>
      <c r="DY256" s="66"/>
      <c r="DZ256" s="264"/>
      <c r="EA256" s="66"/>
      <c r="EB256" s="264"/>
      <c r="EC256" s="66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D259" s="66"/>
      <c r="H259" s="66"/>
      <c r="Y259" s="66"/>
      <c r="AA259" s="66"/>
      <c r="AE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BL261" s="66"/>
    </row>
    <row r="262" spans="1:151">
      <c r="A262" s="160"/>
      <c r="B262" s="160"/>
      <c r="F262" s="66"/>
      <c r="H262" s="66"/>
      <c r="J262" s="66"/>
      <c r="W262" s="66"/>
      <c r="Y262" s="66"/>
      <c r="AA262" s="66"/>
      <c r="AE262" s="66"/>
      <c r="AK262" s="66"/>
      <c r="AO262" s="66"/>
      <c r="AP262" s="66"/>
      <c r="AU262" s="66"/>
      <c r="AY262" s="66"/>
      <c r="AZ262" s="66"/>
      <c r="BB262" s="66"/>
      <c r="BE262" s="66"/>
      <c r="BH262" s="66"/>
      <c r="BL262" s="66"/>
      <c r="CT262" s="66"/>
      <c r="DS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  <c r="ED267" s="66"/>
    </row>
    <row r="268" spans="1:151">
      <c r="A268" s="160"/>
      <c r="B268" s="160"/>
      <c r="F268" s="66"/>
      <c r="J268" s="66"/>
      <c r="P268" s="66"/>
      <c r="T268" s="66"/>
      <c r="Y268" s="66"/>
      <c r="AA268" s="66"/>
      <c r="AE268" s="66"/>
      <c r="AG268" s="66"/>
      <c r="AM268" s="66"/>
      <c r="AO268" s="66"/>
      <c r="AU268" s="66"/>
      <c r="AZ268" s="66"/>
      <c r="BB268" s="66"/>
      <c r="BH268" s="66"/>
      <c r="BK268" s="66"/>
      <c r="CT268" s="66"/>
      <c r="DS268" s="66"/>
      <c r="DU268" s="66"/>
      <c r="DY268" s="66"/>
      <c r="EA268" s="66"/>
      <c r="EC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D271" s="66"/>
      <c r="T271" s="66"/>
      <c r="AA271" s="66"/>
      <c r="AP271" s="66"/>
      <c r="AR271" s="66"/>
      <c r="AT271" s="66"/>
      <c r="AU271" s="66"/>
      <c r="AY271" s="66"/>
      <c r="AZ271" s="66"/>
      <c r="BB271" s="66"/>
      <c r="BH271" s="66"/>
      <c r="BL271" s="66"/>
    </row>
    <row r="273" spans="4:134">
      <c r="AP273" s="66"/>
      <c r="AU273" s="66"/>
      <c r="BL273" s="66"/>
    </row>
    <row r="274" spans="4:134">
      <c r="H274" s="66"/>
      <c r="J274" s="66"/>
      <c r="L274" s="66"/>
      <c r="P274" s="66"/>
      <c r="R274" s="66"/>
      <c r="AE274" s="66"/>
      <c r="AW274" s="66"/>
      <c r="BK274" s="66"/>
    </row>
    <row r="276" spans="4:134">
      <c r="AU276" s="66"/>
      <c r="AZ276" s="66"/>
      <c r="BL276" s="66"/>
      <c r="CT276" s="66"/>
    </row>
    <row r="277" spans="4:134">
      <c r="D277" s="66"/>
      <c r="AR277" s="66"/>
      <c r="AT277" s="66"/>
      <c r="AU277" s="66"/>
      <c r="AZ277" s="66"/>
      <c r="BE277" s="66"/>
      <c r="BL277" s="66"/>
      <c r="CT277" s="66"/>
      <c r="ED277" s="66"/>
    </row>
    <row r="279" spans="4:134">
      <c r="AU279" s="66"/>
      <c r="CT279" s="66"/>
    </row>
    <row r="280" spans="4:134">
      <c r="D280" s="66"/>
      <c r="F280" s="66"/>
      <c r="P280" s="66"/>
      <c r="R280" s="66"/>
      <c r="T280" s="66"/>
      <c r="AK280" s="66"/>
      <c r="AM280" s="66"/>
      <c r="AO280" s="66"/>
      <c r="AR280" s="66"/>
      <c r="AT280" s="66"/>
      <c r="AU280" s="66"/>
      <c r="AW280" s="66"/>
      <c r="AY280" s="66"/>
      <c r="AZ280" s="66"/>
      <c r="BB280" s="66"/>
      <c r="BE280" s="66"/>
      <c r="BH280" s="66"/>
      <c r="BL280" s="66"/>
      <c r="CO280" s="66"/>
      <c r="CT280" s="66"/>
      <c r="DS280" s="66"/>
      <c r="DW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U277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264" customWidth="1"/>
    <col min="2" max="2" width="24.85546875" style="264" bestFit="1" customWidth="1"/>
    <col min="3" max="6" width="9.140625" style="264"/>
    <col min="7" max="7" width="10.140625" style="264" bestFit="1" customWidth="1"/>
    <col min="8" max="21" width="9.140625" style="264"/>
    <col min="22" max="22" width="17.140625" style="264" customWidth="1"/>
    <col min="23" max="16384" width="9.140625" style="264"/>
  </cols>
  <sheetData>
    <row r="1" spans="1:151" ht="26.25">
      <c r="B1" s="31" t="s">
        <v>162</v>
      </c>
      <c r="C1" s="264" t="s">
        <v>190</v>
      </c>
      <c r="V1" s="264" t="s">
        <v>191</v>
      </c>
      <c r="AN1" s="264" t="s">
        <v>192</v>
      </c>
      <c r="BD1" s="264" t="s">
        <v>193</v>
      </c>
      <c r="BX1" s="264" t="s">
        <v>194</v>
      </c>
      <c r="CU1" s="264" t="s">
        <v>195</v>
      </c>
      <c r="DR1" s="264" t="s">
        <v>196</v>
      </c>
      <c r="DU1" s="264" t="s">
        <v>197</v>
      </c>
      <c r="EE1" s="264" t="s">
        <v>198</v>
      </c>
    </row>
    <row r="2" spans="1:151" s="2" customFormat="1" ht="39.75" customHeight="1">
      <c r="A2" s="367"/>
      <c r="B2" s="368"/>
      <c r="C2" s="372" t="s">
        <v>199</v>
      </c>
      <c r="D2" s="379"/>
      <c r="E2" s="379"/>
      <c r="F2" s="373"/>
      <c r="G2" s="374" t="s">
        <v>200</v>
      </c>
      <c r="H2" s="374" t="s">
        <v>201</v>
      </c>
      <c r="I2" s="372" t="s">
        <v>14</v>
      </c>
      <c r="J2" s="373"/>
      <c r="K2" s="372" t="s">
        <v>202</v>
      </c>
      <c r="L2" s="379"/>
      <c r="M2" s="373"/>
      <c r="N2" s="374" t="s">
        <v>203</v>
      </c>
      <c r="O2" s="372" t="s">
        <v>204</v>
      </c>
      <c r="P2" s="379"/>
      <c r="Q2" s="379"/>
      <c r="R2" s="379"/>
      <c r="S2" s="379"/>
      <c r="T2" s="379"/>
      <c r="U2" s="373"/>
      <c r="V2" s="386" t="s">
        <v>205</v>
      </c>
      <c r="W2" s="387"/>
      <c r="X2" s="369" t="s">
        <v>206</v>
      </c>
      <c r="Y2" s="376"/>
      <c r="Z2" s="376"/>
      <c r="AA2" s="376"/>
      <c r="AB2" s="376"/>
      <c r="AC2" s="377"/>
      <c r="AD2" s="369" t="s">
        <v>207</v>
      </c>
      <c r="AE2" s="376"/>
      <c r="AF2" s="376"/>
      <c r="AG2" s="376"/>
      <c r="AH2" s="376"/>
      <c r="AI2" s="377"/>
      <c r="AJ2" s="365" t="s">
        <v>208</v>
      </c>
      <c r="AK2" s="366"/>
      <c r="AL2" s="366" t="s">
        <v>209</v>
      </c>
      <c r="AM2" s="385"/>
      <c r="AN2" s="372" t="s">
        <v>210</v>
      </c>
      <c r="AO2" s="379"/>
      <c r="AP2" s="379"/>
      <c r="AQ2" s="379"/>
      <c r="AR2" s="379"/>
      <c r="AS2" s="379"/>
      <c r="AT2" s="379"/>
      <c r="AU2" s="373"/>
      <c r="AV2" s="381" t="s">
        <v>211</v>
      </c>
      <c r="AW2" s="382"/>
      <c r="AX2" s="372" t="s">
        <v>212</v>
      </c>
      <c r="AY2" s="379"/>
      <c r="AZ2" s="379"/>
      <c r="BA2" s="379"/>
      <c r="BB2" s="379"/>
      <c r="BC2" s="373"/>
      <c r="BD2" s="369" t="s">
        <v>212</v>
      </c>
      <c r="BE2" s="376"/>
      <c r="BF2" s="376"/>
      <c r="BG2" s="376"/>
      <c r="BH2" s="376"/>
      <c r="BI2" s="376"/>
      <c r="BJ2" s="376"/>
      <c r="BK2" s="376"/>
      <c r="BL2" s="376"/>
      <c r="BM2" s="376"/>
      <c r="BN2" s="376"/>
      <c r="BO2" s="377"/>
      <c r="BP2" s="369" t="s">
        <v>213</v>
      </c>
      <c r="BQ2" s="376"/>
      <c r="BR2" s="376"/>
      <c r="BS2" s="377"/>
      <c r="BT2" s="369" t="s">
        <v>39</v>
      </c>
      <c r="BU2" s="376"/>
      <c r="BV2" s="376"/>
      <c r="BW2" s="377"/>
      <c r="BX2" s="372" t="s">
        <v>214</v>
      </c>
      <c r="BY2" s="379"/>
      <c r="BZ2" s="379"/>
      <c r="CA2" s="373"/>
      <c r="CB2" s="372" t="s">
        <v>215</v>
      </c>
      <c r="CC2" s="379"/>
      <c r="CD2" s="379"/>
      <c r="CE2" s="373"/>
      <c r="CF2" s="372" t="s">
        <v>42</v>
      </c>
      <c r="CG2" s="379"/>
      <c r="CH2" s="379"/>
      <c r="CI2" s="373"/>
      <c r="CJ2" s="372" t="s">
        <v>43</v>
      </c>
      <c r="CK2" s="379"/>
      <c r="CL2" s="379"/>
      <c r="CM2" s="373"/>
      <c r="CN2" s="372" t="s">
        <v>44</v>
      </c>
      <c r="CO2" s="379"/>
      <c r="CP2" s="373"/>
      <c r="CQ2" s="372" t="s">
        <v>216</v>
      </c>
      <c r="CR2" s="379"/>
      <c r="CS2" s="379"/>
      <c r="CT2" s="373"/>
      <c r="CU2" s="369" t="s">
        <v>45</v>
      </c>
      <c r="CV2" s="376"/>
      <c r="CW2" s="376"/>
      <c r="CX2" s="377"/>
      <c r="CY2" s="369" t="s">
        <v>217</v>
      </c>
      <c r="CZ2" s="376"/>
      <c r="DA2" s="376"/>
      <c r="DB2" s="377"/>
      <c r="DC2" s="369" t="s">
        <v>218</v>
      </c>
      <c r="DD2" s="376"/>
      <c r="DE2" s="377"/>
      <c r="DF2" s="369" t="s">
        <v>219</v>
      </c>
      <c r="DG2" s="376"/>
      <c r="DH2" s="376"/>
      <c r="DI2" s="377"/>
      <c r="DJ2" s="369" t="s">
        <v>46</v>
      </c>
      <c r="DK2" s="376"/>
      <c r="DL2" s="376"/>
      <c r="DM2" s="377"/>
      <c r="DN2" s="369" t="s">
        <v>220</v>
      </c>
      <c r="DO2" s="376"/>
      <c r="DP2" s="376"/>
      <c r="DQ2" s="377"/>
      <c r="DR2" s="372" t="s">
        <v>15</v>
      </c>
      <c r="DS2" s="379"/>
      <c r="DT2" s="379"/>
      <c r="DU2" s="379"/>
      <c r="DV2" s="379"/>
      <c r="DW2" s="373"/>
      <c r="DX2" s="372" t="s">
        <v>221</v>
      </c>
      <c r="DY2" s="379"/>
      <c r="DZ2" s="379"/>
      <c r="EA2" s="379"/>
      <c r="EB2" s="379"/>
      <c r="EC2" s="373"/>
      <c r="ED2" s="374" t="s">
        <v>222</v>
      </c>
      <c r="EE2" s="370" t="s">
        <v>223</v>
      </c>
      <c r="EF2" s="369" t="s">
        <v>224</v>
      </c>
      <c r="EG2" s="376"/>
      <c r="EH2" s="376"/>
      <c r="EI2" s="376"/>
      <c r="EJ2" s="376"/>
      <c r="EK2" s="377"/>
      <c r="EL2" s="370" t="s">
        <v>225</v>
      </c>
      <c r="EM2" s="370" t="s">
        <v>226</v>
      </c>
      <c r="EN2" s="370" t="s">
        <v>227</v>
      </c>
      <c r="EO2" s="370" t="s">
        <v>228</v>
      </c>
      <c r="EP2" s="370" t="s">
        <v>229</v>
      </c>
      <c r="EQ2" s="370" t="s">
        <v>230</v>
      </c>
      <c r="ER2" s="369" t="s">
        <v>231</v>
      </c>
      <c r="ES2" s="376"/>
      <c r="ET2" s="376"/>
      <c r="EU2" s="377"/>
    </row>
    <row r="3" spans="1:151" s="2" customFormat="1" ht="27" customHeight="1">
      <c r="A3" s="367"/>
      <c r="B3" s="368"/>
      <c r="C3" s="374" t="s">
        <v>15</v>
      </c>
      <c r="D3" s="374" t="s">
        <v>201</v>
      </c>
      <c r="E3" s="374" t="s">
        <v>16</v>
      </c>
      <c r="F3" s="374" t="s">
        <v>201</v>
      </c>
      <c r="G3" s="380"/>
      <c r="H3" s="380"/>
      <c r="I3" s="374" t="s">
        <v>13</v>
      </c>
      <c r="J3" s="374" t="s">
        <v>201</v>
      </c>
      <c r="K3" s="374" t="s">
        <v>13</v>
      </c>
      <c r="L3" s="374" t="s">
        <v>201</v>
      </c>
      <c r="M3" s="374" t="s">
        <v>232</v>
      </c>
      <c r="N3" s="380"/>
      <c r="O3" s="372" t="s">
        <v>11</v>
      </c>
      <c r="P3" s="373"/>
      <c r="Q3" s="372" t="s">
        <v>12</v>
      </c>
      <c r="R3" s="373"/>
      <c r="S3" s="374" t="s">
        <v>233</v>
      </c>
      <c r="T3" s="374" t="s">
        <v>201</v>
      </c>
      <c r="U3" s="374" t="s">
        <v>203</v>
      </c>
      <c r="V3" s="365"/>
      <c r="W3" s="385"/>
      <c r="X3" s="369" t="s">
        <v>15</v>
      </c>
      <c r="Y3" s="377"/>
      <c r="Z3" s="369" t="s">
        <v>16</v>
      </c>
      <c r="AA3" s="377"/>
      <c r="AB3" s="370" t="s">
        <v>234</v>
      </c>
      <c r="AC3" s="370" t="s">
        <v>203</v>
      </c>
      <c r="AD3" s="369" t="s">
        <v>15</v>
      </c>
      <c r="AE3" s="377"/>
      <c r="AF3" s="369" t="s">
        <v>16</v>
      </c>
      <c r="AG3" s="377"/>
      <c r="AH3" s="370" t="s">
        <v>234</v>
      </c>
      <c r="AI3" s="370" t="s">
        <v>203</v>
      </c>
      <c r="AJ3" s="370" t="s">
        <v>235</v>
      </c>
      <c r="AK3" s="370" t="s">
        <v>236</v>
      </c>
      <c r="AL3" s="370" t="s">
        <v>235</v>
      </c>
      <c r="AM3" s="370" t="s">
        <v>236</v>
      </c>
      <c r="AN3" s="374" t="s">
        <v>35</v>
      </c>
      <c r="AO3" s="374" t="s">
        <v>236</v>
      </c>
      <c r="AP3" s="374" t="s">
        <v>237</v>
      </c>
      <c r="AQ3" s="372" t="s">
        <v>238</v>
      </c>
      <c r="AR3" s="373"/>
      <c r="AS3" s="372" t="s">
        <v>239</v>
      </c>
      <c r="AT3" s="379"/>
      <c r="AU3" s="373"/>
      <c r="AV3" s="383"/>
      <c r="AW3" s="384"/>
      <c r="AX3" s="372" t="s">
        <v>36</v>
      </c>
      <c r="AY3" s="379"/>
      <c r="AZ3" s="373"/>
      <c r="BA3" s="372" t="s">
        <v>240</v>
      </c>
      <c r="BB3" s="379"/>
      <c r="BC3" s="373"/>
      <c r="BD3" s="369" t="s">
        <v>241</v>
      </c>
      <c r="BE3" s="376"/>
      <c r="BF3" s="377"/>
      <c r="BG3" s="369" t="s">
        <v>242</v>
      </c>
      <c r="BH3" s="376"/>
      <c r="BI3" s="377"/>
      <c r="BJ3" s="369" t="s">
        <v>243</v>
      </c>
      <c r="BK3" s="376"/>
      <c r="BL3" s="376"/>
      <c r="BM3" s="376"/>
      <c r="BN3" s="376"/>
      <c r="BO3" s="377"/>
      <c r="BP3" s="370" t="s">
        <v>15</v>
      </c>
      <c r="BQ3" s="370" t="s">
        <v>244</v>
      </c>
      <c r="BR3" s="370" t="s">
        <v>245</v>
      </c>
      <c r="BS3" s="370" t="s">
        <v>203</v>
      </c>
      <c r="BT3" s="370" t="s">
        <v>15</v>
      </c>
      <c r="BU3" s="370" t="s">
        <v>244</v>
      </c>
      <c r="BV3" s="370" t="s">
        <v>245</v>
      </c>
      <c r="BW3" s="370" t="s">
        <v>203</v>
      </c>
      <c r="BX3" s="374" t="s">
        <v>15</v>
      </c>
      <c r="BY3" s="374" t="s">
        <v>244</v>
      </c>
      <c r="BZ3" s="374" t="s">
        <v>245</v>
      </c>
      <c r="CA3" s="374" t="s">
        <v>203</v>
      </c>
      <c r="CB3" s="374" t="s">
        <v>15</v>
      </c>
      <c r="CC3" s="374" t="s">
        <v>244</v>
      </c>
      <c r="CD3" s="374" t="s">
        <v>245</v>
      </c>
      <c r="CE3" s="374" t="s">
        <v>203</v>
      </c>
      <c r="CF3" s="374" t="s">
        <v>15</v>
      </c>
      <c r="CG3" s="374" t="s">
        <v>244</v>
      </c>
      <c r="CH3" s="374" t="s">
        <v>245</v>
      </c>
      <c r="CI3" s="374" t="s">
        <v>203</v>
      </c>
      <c r="CJ3" s="374" t="s">
        <v>15</v>
      </c>
      <c r="CK3" s="374" t="s">
        <v>244</v>
      </c>
      <c r="CL3" s="374" t="s">
        <v>245</v>
      </c>
      <c r="CM3" s="374" t="s">
        <v>203</v>
      </c>
      <c r="CN3" s="374" t="s">
        <v>15</v>
      </c>
      <c r="CO3" s="374" t="s">
        <v>246</v>
      </c>
      <c r="CP3" s="374" t="s">
        <v>203</v>
      </c>
      <c r="CQ3" s="374" t="s">
        <v>15</v>
      </c>
      <c r="CR3" s="374" t="s">
        <v>244</v>
      </c>
      <c r="CS3" s="374" t="s">
        <v>245</v>
      </c>
      <c r="CT3" s="374" t="s">
        <v>203</v>
      </c>
      <c r="CU3" s="370" t="s">
        <v>15</v>
      </c>
      <c r="CV3" s="370" t="s">
        <v>244</v>
      </c>
      <c r="CW3" s="370" t="s">
        <v>245</v>
      </c>
      <c r="CX3" s="370" t="s">
        <v>203</v>
      </c>
      <c r="CY3" s="370" t="s">
        <v>15</v>
      </c>
      <c r="CZ3" s="370" t="s">
        <v>244</v>
      </c>
      <c r="DA3" s="370" t="s">
        <v>245</v>
      </c>
      <c r="DB3" s="370" t="s">
        <v>203</v>
      </c>
      <c r="DC3" s="370" t="s">
        <v>15</v>
      </c>
      <c r="DD3" s="370" t="s">
        <v>244</v>
      </c>
      <c r="DE3" s="370" t="s">
        <v>245</v>
      </c>
      <c r="DF3" s="370" t="s">
        <v>15</v>
      </c>
      <c r="DG3" s="370" t="s">
        <v>244</v>
      </c>
      <c r="DH3" s="370" t="s">
        <v>245</v>
      </c>
      <c r="DI3" s="370" t="s">
        <v>203</v>
      </c>
      <c r="DJ3" s="370" t="s">
        <v>15</v>
      </c>
      <c r="DK3" s="370" t="s">
        <v>244</v>
      </c>
      <c r="DL3" s="370" t="s">
        <v>245</v>
      </c>
      <c r="DM3" s="370" t="s">
        <v>203</v>
      </c>
      <c r="DN3" s="370" t="s">
        <v>15</v>
      </c>
      <c r="DO3" s="370" t="s">
        <v>244</v>
      </c>
      <c r="DP3" s="370" t="s">
        <v>245</v>
      </c>
      <c r="DQ3" s="370" t="s">
        <v>203</v>
      </c>
      <c r="DR3" s="374" t="s">
        <v>13</v>
      </c>
      <c r="DS3" s="374" t="s">
        <v>247</v>
      </c>
      <c r="DT3" s="372" t="s">
        <v>248</v>
      </c>
      <c r="DU3" s="373"/>
      <c r="DV3" s="374" t="s">
        <v>249</v>
      </c>
      <c r="DW3" s="374" t="s">
        <v>247</v>
      </c>
      <c r="DX3" s="374" t="s">
        <v>13</v>
      </c>
      <c r="DY3" s="374" t="s">
        <v>247</v>
      </c>
      <c r="DZ3" s="372" t="s">
        <v>248</v>
      </c>
      <c r="EA3" s="373"/>
      <c r="EB3" s="374" t="s">
        <v>249</v>
      </c>
      <c r="EC3" s="374" t="s">
        <v>247</v>
      </c>
      <c r="ED3" s="380"/>
      <c r="EE3" s="378"/>
      <c r="EF3" s="370" t="s">
        <v>250</v>
      </c>
      <c r="EG3" s="370" t="s">
        <v>251</v>
      </c>
      <c r="EH3" s="370" t="s">
        <v>252</v>
      </c>
      <c r="EI3" s="370" t="s">
        <v>253</v>
      </c>
      <c r="EJ3" s="370" t="s">
        <v>254</v>
      </c>
      <c r="EK3" s="370" t="s">
        <v>255</v>
      </c>
      <c r="EL3" s="378"/>
      <c r="EM3" s="378"/>
      <c r="EN3" s="378"/>
      <c r="EO3" s="378"/>
      <c r="EP3" s="378"/>
      <c r="EQ3" s="378"/>
      <c r="ER3" s="370" t="s">
        <v>256</v>
      </c>
      <c r="ES3" s="370" t="s">
        <v>257</v>
      </c>
      <c r="ET3" s="370" t="s">
        <v>258</v>
      </c>
      <c r="EU3" s="370" t="s">
        <v>259</v>
      </c>
    </row>
    <row r="4" spans="1:151" s="2" customFormat="1" ht="27" customHeight="1">
      <c r="A4" s="367"/>
      <c r="B4" s="368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266" t="s">
        <v>0</v>
      </c>
      <c r="P4" s="266" t="s">
        <v>236</v>
      </c>
      <c r="Q4" s="266" t="s">
        <v>0</v>
      </c>
      <c r="R4" s="266" t="s">
        <v>236</v>
      </c>
      <c r="S4" s="375"/>
      <c r="T4" s="375"/>
      <c r="U4" s="375"/>
      <c r="V4" s="265" t="s">
        <v>21</v>
      </c>
      <c r="W4" s="265" t="s">
        <v>260</v>
      </c>
      <c r="X4" s="265" t="s">
        <v>0</v>
      </c>
      <c r="Y4" s="265" t="s">
        <v>236</v>
      </c>
      <c r="Z4" s="265" t="s">
        <v>0</v>
      </c>
      <c r="AA4" s="265" t="s">
        <v>236</v>
      </c>
      <c r="AB4" s="371"/>
      <c r="AC4" s="371"/>
      <c r="AD4" s="265" t="s">
        <v>0</v>
      </c>
      <c r="AE4" s="265" t="s">
        <v>236</v>
      </c>
      <c r="AF4" s="265" t="s">
        <v>0</v>
      </c>
      <c r="AG4" s="265" t="s">
        <v>236</v>
      </c>
      <c r="AH4" s="371"/>
      <c r="AI4" s="371"/>
      <c r="AJ4" s="371"/>
      <c r="AK4" s="371"/>
      <c r="AL4" s="371"/>
      <c r="AM4" s="371"/>
      <c r="AN4" s="375"/>
      <c r="AO4" s="375"/>
      <c r="AP4" s="375"/>
      <c r="AQ4" s="266" t="s">
        <v>0</v>
      </c>
      <c r="AR4" s="266" t="s">
        <v>236</v>
      </c>
      <c r="AS4" s="266" t="s">
        <v>0</v>
      </c>
      <c r="AT4" s="266" t="s">
        <v>236</v>
      </c>
      <c r="AU4" s="266" t="s">
        <v>261</v>
      </c>
      <c r="AV4" s="266" t="s">
        <v>0</v>
      </c>
      <c r="AW4" s="266" t="s">
        <v>236</v>
      </c>
      <c r="AX4" s="266" t="s">
        <v>0</v>
      </c>
      <c r="AY4" s="266" t="s">
        <v>236</v>
      </c>
      <c r="AZ4" s="266" t="s">
        <v>261</v>
      </c>
      <c r="BA4" s="266" t="s">
        <v>0</v>
      </c>
      <c r="BB4" s="266" t="s">
        <v>236</v>
      </c>
      <c r="BC4" s="266" t="s">
        <v>261</v>
      </c>
      <c r="BD4" s="265" t="s">
        <v>0</v>
      </c>
      <c r="BE4" s="265" t="s">
        <v>236</v>
      </c>
      <c r="BF4" s="265" t="s">
        <v>261</v>
      </c>
      <c r="BG4" s="265" t="s">
        <v>0</v>
      </c>
      <c r="BH4" s="265" t="s">
        <v>236</v>
      </c>
      <c r="BI4" s="265" t="s">
        <v>261</v>
      </c>
      <c r="BJ4" s="265" t="s">
        <v>0</v>
      </c>
      <c r="BK4" s="265" t="s">
        <v>236</v>
      </c>
      <c r="BL4" s="265" t="s">
        <v>261</v>
      </c>
      <c r="BM4" s="265" t="s">
        <v>262</v>
      </c>
      <c r="BN4" s="265" t="s">
        <v>263</v>
      </c>
      <c r="BO4" s="265" t="s">
        <v>38</v>
      </c>
      <c r="BP4" s="371"/>
      <c r="BQ4" s="371"/>
      <c r="BR4" s="371"/>
      <c r="BS4" s="371"/>
      <c r="BT4" s="371"/>
      <c r="BU4" s="371"/>
      <c r="BV4" s="371"/>
      <c r="BW4" s="371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1"/>
      <c r="CV4" s="371"/>
      <c r="CW4" s="371"/>
      <c r="CX4" s="371"/>
      <c r="CY4" s="371"/>
      <c r="CZ4" s="371"/>
      <c r="DA4" s="371"/>
      <c r="DB4" s="371"/>
      <c r="DC4" s="371"/>
      <c r="DD4" s="371"/>
      <c r="DE4" s="371"/>
      <c r="DF4" s="371"/>
      <c r="DG4" s="371"/>
      <c r="DH4" s="371"/>
      <c r="DI4" s="371"/>
      <c r="DJ4" s="371"/>
      <c r="DK4" s="371"/>
      <c r="DL4" s="371"/>
      <c r="DM4" s="371"/>
      <c r="DN4" s="371"/>
      <c r="DO4" s="371"/>
      <c r="DP4" s="371"/>
      <c r="DQ4" s="371"/>
      <c r="DR4" s="375"/>
      <c r="DS4" s="375"/>
      <c r="DT4" s="11" t="s">
        <v>13</v>
      </c>
      <c r="DU4" s="11" t="s">
        <v>247</v>
      </c>
      <c r="DV4" s="375"/>
      <c r="DW4" s="375"/>
      <c r="DX4" s="375"/>
      <c r="DY4" s="375"/>
      <c r="DZ4" s="11" t="s">
        <v>13</v>
      </c>
      <c r="EA4" s="11" t="s">
        <v>247</v>
      </c>
      <c r="EB4" s="375"/>
      <c r="EC4" s="375"/>
      <c r="ED4" s="375"/>
      <c r="EE4" s="371"/>
      <c r="EF4" s="371"/>
      <c r="EG4" s="371"/>
      <c r="EH4" s="371"/>
      <c r="EI4" s="371"/>
      <c r="EJ4" s="371"/>
      <c r="EK4" s="371"/>
      <c r="EL4" s="371"/>
      <c r="EM4" s="371"/>
      <c r="EN4" s="371"/>
      <c r="EO4" s="371"/>
      <c r="EP4" s="371"/>
      <c r="EQ4" s="371"/>
      <c r="ER4" s="371"/>
      <c r="ES4" s="371"/>
      <c r="ET4" s="371"/>
      <c r="EU4" s="371"/>
    </row>
    <row r="5" spans="1:151" s="6" customFormat="1">
      <c r="A5" s="367"/>
      <c r="B5" s="368"/>
      <c r="C5" s="266">
        <v>1</v>
      </c>
      <c r="D5" s="266">
        <v>2</v>
      </c>
      <c r="E5" s="266">
        <v>3</v>
      </c>
      <c r="F5" s="266">
        <v>4</v>
      </c>
      <c r="G5" s="266">
        <v>5</v>
      </c>
      <c r="H5" s="266">
        <v>6</v>
      </c>
      <c r="I5" s="266">
        <v>7</v>
      </c>
      <c r="J5" s="266">
        <v>8</v>
      </c>
      <c r="K5" s="266">
        <v>9</v>
      </c>
      <c r="L5" s="266">
        <v>10</v>
      </c>
      <c r="M5" s="266">
        <v>11</v>
      </c>
      <c r="N5" s="266">
        <v>12</v>
      </c>
      <c r="O5" s="266">
        <v>13</v>
      </c>
      <c r="P5" s="266">
        <v>14</v>
      </c>
      <c r="Q5" s="266">
        <v>15</v>
      </c>
      <c r="R5" s="266">
        <v>16</v>
      </c>
      <c r="S5" s="266">
        <v>17</v>
      </c>
      <c r="T5" s="266">
        <v>18</v>
      </c>
      <c r="U5" s="266">
        <v>19</v>
      </c>
      <c r="V5" s="265">
        <v>1</v>
      </c>
      <c r="W5" s="265">
        <v>2</v>
      </c>
      <c r="X5" s="265">
        <v>3</v>
      </c>
      <c r="Y5" s="265">
        <v>4</v>
      </c>
      <c r="Z5" s="265">
        <v>5</v>
      </c>
      <c r="AA5" s="265">
        <v>6</v>
      </c>
      <c r="AB5" s="265">
        <v>7</v>
      </c>
      <c r="AC5" s="265">
        <v>8</v>
      </c>
      <c r="AD5" s="265">
        <v>9</v>
      </c>
      <c r="AE5" s="265">
        <v>10</v>
      </c>
      <c r="AF5" s="265">
        <v>11</v>
      </c>
      <c r="AG5" s="265">
        <v>12</v>
      </c>
      <c r="AH5" s="265">
        <v>13</v>
      </c>
      <c r="AI5" s="265">
        <v>14</v>
      </c>
      <c r="AJ5" s="265">
        <v>15</v>
      </c>
      <c r="AK5" s="265">
        <v>16</v>
      </c>
      <c r="AL5" s="265">
        <v>17</v>
      </c>
      <c r="AM5" s="268">
        <v>18</v>
      </c>
      <c r="AN5" s="266">
        <v>1</v>
      </c>
      <c r="AO5" s="266">
        <v>2</v>
      </c>
      <c r="AP5" s="266">
        <v>3</v>
      </c>
      <c r="AQ5" s="266">
        <v>4</v>
      </c>
      <c r="AR5" s="266">
        <v>5</v>
      </c>
      <c r="AS5" s="266">
        <v>6</v>
      </c>
      <c r="AT5" s="266">
        <v>7</v>
      </c>
      <c r="AU5" s="266">
        <v>8</v>
      </c>
      <c r="AV5" s="266">
        <v>9</v>
      </c>
      <c r="AW5" s="266">
        <v>10</v>
      </c>
      <c r="AX5" s="266">
        <v>11</v>
      </c>
      <c r="AY5" s="266">
        <v>12</v>
      </c>
      <c r="AZ5" s="266">
        <v>13</v>
      </c>
      <c r="BA5" s="266">
        <v>14</v>
      </c>
      <c r="BB5" s="266">
        <v>15</v>
      </c>
      <c r="BC5" s="266">
        <v>16</v>
      </c>
      <c r="BD5" s="265">
        <v>1</v>
      </c>
      <c r="BE5" s="265">
        <v>2</v>
      </c>
      <c r="BF5" s="265">
        <v>3</v>
      </c>
      <c r="BG5" s="265">
        <v>4</v>
      </c>
      <c r="BH5" s="265">
        <v>5</v>
      </c>
      <c r="BI5" s="265">
        <v>6</v>
      </c>
      <c r="BJ5" s="265">
        <v>7</v>
      </c>
      <c r="BK5" s="265">
        <v>8</v>
      </c>
      <c r="BL5" s="265">
        <v>9</v>
      </c>
      <c r="BM5" s="265">
        <v>10</v>
      </c>
      <c r="BN5" s="265">
        <v>11</v>
      </c>
      <c r="BO5" s="265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267">
        <v>1</v>
      </c>
      <c r="BY5" s="267">
        <v>2</v>
      </c>
      <c r="BZ5" s="267">
        <v>3</v>
      </c>
      <c r="CA5" s="267">
        <v>4</v>
      </c>
      <c r="CB5" s="267">
        <v>5</v>
      </c>
      <c r="CC5" s="267">
        <v>6</v>
      </c>
      <c r="CD5" s="267">
        <v>7</v>
      </c>
      <c r="CE5" s="267">
        <v>8</v>
      </c>
      <c r="CF5" s="267">
        <v>9</v>
      </c>
      <c r="CG5" s="267">
        <v>10</v>
      </c>
      <c r="CH5" s="267">
        <v>11</v>
      </c>
      <c r="CI5" s="267">
        <v>12</v>
      </c>
      <c r="CJ5" s="267">
        <v>13</v>
      </c>
      <c r="CK5" s="267">
        <v>14</v>
      </c>
      <c r="CL5" s="267">
        <v>15</v>
      </c>
      <c r="CM5" s="267">
        <v>16</v>
      </c>
      <c r="CN5" s="267">
        <v>17</v>
      </c>
      <c r="CO5" s="267">
        <v>18</v>
      </c>
      <c r="CP5" s="267">
        <v>19</v>
      </c>
      <c r="CQ5" s="267">
        <v>20</v>
      </c>
      <c r="CR5" s="267">
        <v>21</v>
      </c>
      <c r="CS5" s="267">
        <v>22</v>
      </c>
      <c r="CT5" s="267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266">
        <v>1</v>
      </c>
      <c r="DS5" s="266">
        <v>2</v>
      </c>
      <c r="DT5" s="266">
        <v>3</v>
      </c>
      <c r="DU5" s="266">
        <v>4</v>
      </c>
      <c r="DV5" s="266">
        <v>5</v>
      </c>
      <c r="DW5" s="266">
        <v>6</v>
      </c>
      <c r="DX5" s="266">
        <v>7</v>
      </c>
      <c r="DY5" s="266">
        <v>8</v>
      </c>
      <c r="DZ5" s="266">
        <v>9</v>
      </c>
      <c r="EA5" s="266">
        <v>10</v>
      </c>
      <c r="EB5" s="266">
        <v>11</v>
      </c>
      <c r="EC5" s="266">
        <v>12</v>
      </c>
      <c r="ED5" s="266">
        <v>13</v>
      </c>
      <c r="EE5" s="265">
        <v>1</v>
      </c>
      <c r="EF5" s="265">
        <v>2</v>
      </c>
      <c r="EG5" s="265">
        <v>3</v>
      </c>
      <c r="EH5" s="265">
        <v>4</v>
      </c>
      <c r="EI5" s="265">
        <v>5</v>
      </c>
      <c r="EJ5" s="265">
        <v>6</v>
      </c>
      <c r="EK5" s="265">
        <v>7</v>
      </c>
      <c r="EL5" s="265">
        <v>8</v>
      </c>
      <c r="EM5" s="265">
        <v>9</v>
      </c>
      <c r="EN5" s="265">
        <v>10</v>
      </c>
      <c r="EO5" s="265">
        <v>11</v>
      </c>
      <c r="EP5" s="265">
        <v>12</v>
      </c>
      <c r="EQ5" s="265">
        <v>13</v>
      </c>
      <c r="ER5" s="265">
        <v>14</v>
      </c>
      <c r="ES5" s="265">
        <v>15</v>
      </c>
      <c r="ET5" s="265">
        <v>16</v>
      </c>
      <c r="EU5" s="265">
        <v>17</v>
      </c>
    </row>
    <row r="6" spans="1:151" ht="15" customHeight="1">
      <c r="A6" s="252"/>
      <c r="B6" s="264" t="s">
        <v>402</v>
      </c>
      <c r="W6" s="66"/>
      <c r="AP6" s="66"/>
      <c r="AU6" s="66"/>
      <c r="AZ6" s="66"/>
      <c r="BL6" s="66"/>
    </row>
    <row r="7" spans="1:151">
      <c r="A7" s="253"/>
      <c r="B7" s="264" t="s">
        <v>272</v>
      </c>
      <c r="W7" s="66"/>
      <c r="AP7" s="66"/>
      <c r="AU7" s="66"/>
      <c r="AZ7" s="66"/>
      <c r="BK7" s="66"/>
      <c r="BL7" s="66"/>
    </row>
    <row r="8" spans="1:151" ht="15" customHeight="1">
      <c r="A8" s="254"/>
      <c r="B8" s="264" t="s">
        <v>1</v>
      </c>
    </row>
    <row r="9" spans="1:151" ht="15" customHeight="1">
      <c r="A9" s="255"/>
      <c r="B9" s="264" t="s">
        <v>1139</v>
      </c>
      <c r="W9" s="66"/>
      <c r="AU9" s="66"/>
      <c r="AZ9" s="66"/>
      <c r="BL9" s="66"/>
    </row>
    <row r="10" spans="1:151">
      <c r="A10" s="256"/>
      <c r="B10" s="264" t="s">
        <v>465</v>
      </c>
      <c r="P10" s="66"/>
      <c r="W10" s="66"/>
      <c r="AG10" s="66"/>
      <c r="AP10" s="66"/>
      <c r="AU10" s="66"/>
      <c r="BK10" s="66"/>
      <c r="BL10" s="66"/>
    </row>
    <row r="11" spans="1:151">
      <c r="A11" s="256"/>
      <c r="B11" s="264" t="s">
        <v>481</v>
      </c>
    </row>
    <row r="12" spans="1:151">
      <c r="A12" s="256"/>
      <c r="B12" s="264" t="s">
        <v>1140</v>
      </c>
      <c r="AP12" s="66"/>
      <c r="AU12" s="66"/>
      <c r="AZ12" s="66"/>
      <c r="BL12" s="66"/>
    </row>
    <row r="13" spans="1:151">
      <c r="A13" s="257"/>
      <c r="B13" s="264" t="s">
        <v>1141</v>
      </c>
      <c r="D13" s="66"/>
      <c r="AP13" s="66"/>
      <c r="AU13" s="66"/>
      <c r="AZ13" s="66"/>
      <c r="BL13" s="66"/>
    </row>
    <row r="14" spans="1:151" ht="15" customHeight="1">
      <c r="A14" s="254"/>
      <c r="B14" s="264" t="s">
        <v>1</v>
      </c>
    </row>
    <row r="15" spans="1:151" ht="15" customHeight="1">
      <c r="A15" s="252"/>
      <c r="B15" s="264" t="s">
        <v>402</v>
      </c>
      <c r="AP15" s="66"/>
      <c r="AU15" s="66"/>
      <c r="AZ15" s="66"/>
      <c r="BL15" s="66"/>
      <c r="ED15" s="66"/>
    </row>
    <row r="16" spans="1:151">
      <c r="A16" s="253"/>
      <c r="B16" s="264" t="s">
        <v>273</v>
      </c>
      <c r="AA16" s="66"/>
      <c r="AP16" s="66"/>
      <c r="AU16" s="66"/>
      <c r="AZ16" s="66"/>
      <c r="BL16" s="66"/>
    </row>
    <row r="17" spans="1:123" ht="15" customHeight="1">
      <c r="A17" s="254"/>
      <c r="B17" s="264" t="s">
        <v>1</v>
      </c>
    </row>
    <row r="18" spans="1:123" ht="15" customHeight="1">
      <c r="A18" s="255"/>
      <c r="B18" s="264" t="s">
        <v>1142</v>
      </c>
      <c r="AP18" s="66"/>
      <c r="AU18" s="66"/>
      <c r="AZ18" s="66"/>
      <c r="BL18" s="66"/>
    </row>
    <row r="19" spans="1:123">
      <c r="A19" s="256"/>
      <c r="B19" s="264" t="s">
        <v>1143</v>
      </c>
      <c r="D19" s="66"/>
      <c r="Y19" s="66"/>
      <c r="AA19" s="66"/>
      <c r="AP19" s="66"/>
      <c r="AU19" s="66"/>
      <c r="AZ19" s="66"/>
      <c r="BL19" s="66"/>
    </row>
    <row r="20" spans="1:123">
      <c r="A20" s="256"/>
      <c r="B20" s="264" t="s">
        <v>481</v>
      </c>
    </row>
    <row r="21" spans="1:123">
      <c r="A21" s="256"/>
      <c r="B21" s="264" t="s">
        <v>1144</v>
      </c>
      <c r="AP21" s="66"/>
      <c r="AU21" s="66"/>
      <c r="AZ21" s="66"/>
      <c r="BL21" s="66"/>
    </row>
    <row r="22" spans="1:123">
      <c r="A22" s="257"/>
      <c r="B22" s="264" t="s">
        <v>1145</v>
      </c>
      <c r="J22" s="66"/>
      <c r="AA22" s="66"/>
      <c r="AP22" s="66"/>
      <c r="AU22" s="66"/>
      <c r="AZ22" s="66"/>
      <c r="BL22" s="66"/>
    </row>
    <row r="23" spans="1:123" ht="15" customHeight="1">
      <c r="A23" s="254"/>
      <c r="B23" s="264" t="s">
        <v>1</v>
      </c>
    </row>
    <row r="24" spans="1:123">
      <c r="A24" s="251"/>
      <c r="B24" s="264" t="s">
        <v>402</v>
      </c>
      <c r="AP24" s="66"/>
      <c r="AU24" s="66"/>
      <c r="AZ24" s="66"/>
    </row>
    <row r="25" spans="1:123">
      <c r="A25" s="251"/>
      <c r="B25" s="264" t="s">
        <v>1146</v>
      </c>
      <c r="D25" s="66"/>
      <c r="R25" s="66"/>
      <c r="AP25" s="66"/>
      <c r="AU25" s="66"/>
      <c r="AW25" s="66"/>
      <c r="AZ25" s="66"/>
      <c r="BL25" s="66"/>
      <c r="DS25" s="66"/>
    </row>
    <row r="26" spans="1:123" ht="15" customHeight="1">
      <c r="A26" s="254"/>
      <c r="B26" s="264" t="s">
        <v>1</v>
      </c>
    </row>
    <row r="27" spans="1:123" ht="15" customHeight="1">
      <c r="A27" s="255"/>
      <c r="B27" s="264" t="s">
        <v>1147</v>
      </c>
      <c r="AP27" s="66"/>
      <c r="AU27" s="66"/>
      <c r="AZ27" s="66"/>
      <c r="BL27" s="66"/>
    </row>
    <row r="28" spans="1:123">
      <c r="A28" s="256"/>
      <c r="B28" s="264" t="s">
        <v>465</v>
      </c>
      <c r="D28" s="66"/>
      <c r="R28" s="66"/>
      <c r="AK28" s="66"/>
      <c r="AP28" s="66"/>
      <c r="AU28" s="66"/>
      <c r="AZ28" s="66"/>
      <c r="BL28" s="66"/>
      <c r="DI28" s="66"/>
    </row>
    <row r="29" spans="1:123">
      <c r="A29" s="256"/>
      <c r="B29" s="264" t="s">
        <v>481</v>
      </c>
    </row>
    <row r="30" spans="1:123">
      <c r="A30" s="256"/>
      <c r="B30" s="264" t="s">
        <v>1148</v>
      </c>
      <c r="AP30" s="66"/>
      <c r="AU30" s="66"/>
      <c r="AZ30" s="66"/>
      <c r="BL30" s="66"/>
      <c r="DI30" s="66"/>
    </row>
    <row r="31" spans="1:123">
      <c r="A31" s="257"/>
      <c r="B31" s="264" t="s">
        <v>1149</v>
      </c>
      <c r="D31" s="66"/>
      <c r="F31" s="66"/>
      <c r="R31" s="66"/>
      <c r="AP31" s="66"/>
      <c r="AU31" s="66"/>
      <c r="AZ31" s="66"/>
      <c r="BL31" s="66"/>
    </row>
    <row r="32" spans="1:123" ht="15" customHeight="1">
      <c r="A32" s="254"/>
      <c r="B32" s="264" t="s">
        <v>1</v>
      </c>
    </row>
    <row r="33" spans="1:134" ht="15" customHeight="1">
      <c r="A33" s="252"/>
      <c r="B33" s="264" t="s">
        <v>402</v>
      </c>
      <c r="AP33" s="66"/>
      <c r="AU33" s="66"/>
      <c r="AZ33" s="66"/>
      <c r="BL33" s="66"/>
      <c r="CT33" s="66"/>
      <c r="DI33" s="66"/>
    </row>
    <row r="34" spans="1:134">
      <c r="A34" s="253"/>
      <c r="B34" s="264" t="s">
        <v>1150</v>
      </c>
      <c r="W34" s="66"/>
      <c r="AR34" s="66"/>
      <c r="AU34" s="66"/>
      <c r="AZ34" s="66"/>
      <c r="BL34" s="66"/>
      <c r="CT34" s="66"/>
      <c r="DI34" s="66"/>
    </row>
    <row r="35" spans="1:134" ht="15" customHeight="1">
      <c r="A35" s="254"/>
      <c r="B35" s="264" t="s">
        <v>1</v>
      </c>
    </row>
    <row r="36" spans="1:134" ht="15" customHeight="1">
      <c r="A36" s="252"/>
      <c r="B36" s="264" t="s">
        <v>1151</v>
      </c>
      <c r="AU36" s="66"/>
      <c r="AZ36" s="66"/>
      <c r="ED36" s="66"/>
    </row>
    <row r="37" spans="1:134">
      <c r="A37" s="253"/>
      <c r="B37" s="264" t="s">
        <v>1152</v>
      </c>
      <c r="F37" s="66"/>
      <c r="R37" s="66"/>
      <c r="AP37" s="66"/>
      <c r="AU37" s="66"/>
      <c r="AZ37" s="66"/>
      <c r="BL37" s="66"/>
      <c r="ED37" s="66"/>
    </row>
    <row r="38" spans="1:134" ht="15" customHeight="1">
      <c r="A38" s="254"/>
      <c r="B38" s="264" t="s">
        <v>1</v>
      </c>
    </row>
    <row r="39" spans="1:134" ht="15" customHeight="1">
      <c r="A39" s="252"/>
      <c r="B39" s="264" t="s">
        <v>1153</v>
      </c>
      <c r="AZ39" s="66"/>
      <c r="BL39" s="66"/>
      <c r="DI39" s="66"/>
      <c r="ED39" s="66"/>
    </row>
    <row r="40" spans="1:134">
      <c r="A40" s="253"/>
      <c r="B40" s="264" t="s">
        <v>1154</v>
      </c>
      <c r="AU40" s="66"/>
    </row>
    <row r="41" spans="1:134" ht="15" customHeight="1">
      <c r="A41" s="254"/>
      <c r="B41" s="264" t="s">
        <v>1</v>
      </c>
    </row>
    <row r="42" spans="1:134" ht="15" customHeight="1">
      <c r="A42" s="252"/>
      <c r="B42" s="264" t="s">
        <v>402</v>
      </c>
      <c r="AZ42" s="66"/>
      <c r="DI42" s="66"/>
    </row>
    <row r="43" spans="1:134">
      <c r="A43" s="253"/>
      <c r="B43" s="264" t="s">
        <v>1155</v>
      </c>
      <c r="F43" s="66"/>
      <c r="AA43" s="66"/>
      <c r="AK43" s="66"/>
      <c r="AP43" s="66"/>
      <c r="AU43" s="66"/>
      <c r="AZ43" s="66"/>
      <c r="BE43" s="66"/>
      <c r="BL43" s="66"/>
    </row>
    <row r="44" spans="1:134" ht="15" customHeight="1">
      <c r="A44" s="254"/>
      <c r="B44" s="264" t="s">
        <v>1</v>
      </c>
    </row>
    <row r="45" spans="1:134" ht="15" customHeight="1">
      <c r="A45" s="252"/>
      <c r="B45" s="264" t="s">
        <v>402</v>
      </c>
      <c r="AP45" s="66"/>
      <c r="AU45" s="66"/>
      <c r="AZ45" s="66"/>
      <c r="BL45" s="66"/>
    </row>
    <row r="46" spans="1:134">
      <c r="A46" s="253"/>
      <c r="B46" s="264" t="s">
        <v>1157</v>
      </c>
      <c r="P46" s="66"/>
      <c r="AP46" s="66"/>
      <c r="AU46" s="66"/>
      <c r="AZ46" s="66"/>
      <c r="BL46" s="66"/>
    </row>
    <row r="47" spans="1:134" ht="15" customHeight="1">
      <c r="A47" s="254"/>
      <c r="B47" s="264" t="s">
        <v>1</v>
      </c>
    </row>
    <row r="48" spans="1:134" ht="15" customHeight="1">
      <c r="A48" s="255"/>
      <c r="B48" s="264" t="s">
        <v>1159</v>
      </c>
      <c r="AU48" s="66"/>
      <c r="BL48" s="66"/>
    </row>
    <row r="49" spans="1:134">
      <c r="A49" s="256"/>
      <c r="B49" s="264" t="s">
        <v>498</v>
      </c>
      <c r="AP49" s="66"/>
      <c r="AU49" s="66"/>
      <c r="AZ49" s="66"/>
      <c r="BL49" s="66"/>
    </row>
    <row r="50" spans="1:134">
      <c r="A50" s="256"/>
      <c r="B50" s="264" t="s">
        <v>481</v>
      </c>
    </row>
    <row r="51" spans="1:134">
      <c r="A51" s="256"/>
      <c r="B51" s="264" t="s">
        <v>1160</v>
      </c>
      <c r="AP51" s="66"/>
      <c r="AU51" s="66"/>
      <c r="AZ51" s="66"/>
      <c r="BL51" s="66"/>
    </row>
    <row r="52" spans="1:134">
      <c r="A52" s="257"/>
      <c r="B52" s="264" t="s">
        <v>1149</v>
      </c>
      <c r="P52" s="66"/>
      <c r="AP52" s="66"/>
      <c r="AU52" s="66"/>
      <c r="AZ52" s="66"/>
      <c r="BF52" s="66"/>
      <c r="BL52" s="66"/>
    </row>
    <row r="53" spans="1:134" ht="15" customHeight="1">
      <c r="A53" s="254"/>
      <c r="B53" s="264" t="s">
        <v>1</v>
      </c>
    </row>
    <row r="54" spans="1:134" ht="15" customHeight="1">
      <c r="A54" s="252"/>
      <c r="B54" s="264" t="s">
        <v>403</v>
      </c>
      <c r="AP54" s="66"/>
      <c r="AU54" s="66"/>
      <c r="AZ54" s="66"/>
      <c r="CT54" s="66"/>
    </row>
    <row r="55" spans="1:134">
      <c r="A55" s="253"/>
      <c r="B55" s="264" t="s">
        <v>1161</v>
      </c>
      <c r="W55" s="66"/>
      <c r="AP55" s="66"/>
      <c r="AU55" s="66"/>
      <c r="AZ55" s="66"/>
      <c r="BL55" s="66"/>
      <c r="CT55" s="66"/>
    </row>
    <row r="56" spans="1:134" ht="15" customHeight="1">
      <c r="A56" s="254"/>
      <c r="B56" s="264" t="s">
        <v>1</v>
      </c>
    </row>
    <row r="57" spans="1:134">
      <c r="A57" s="258"/>
      <c r="B57" s="264" t="s">
        <v>1162</v>
      </c>
      <c r="AU57" s="66"/>
      <c r="AZ57" s="66"/>
      <c r="BF57" s="66"/>
      <c r="DI57" s="66"/>
      <c r="ED57" s="66"/>
    </row>
    <row r="58" spans="1:134">
      <c r="A58" s="259"/>
      <c r="B58" s="264" t="s">
        <v>283</v>
      </c>
      <c r="D58" s="66"/>
      <c r="L58" s="66"/>
      <c r="AE58" s="66"/>
      <c r="AI58" s="66"/>
      <c r="AO58" s="66"/>
      <c r="AW58" s="66"/>
      <c r="AZ58" s="66"/>
      <c r="BF58" s="66"/>
      <c r="BK58" s="66"/>
      <c r="BL58" s="66"/>
      <c r="CT58" s="66"/>
      <c r="CX58" s="66"/>
      <c r="DI58" s="66"/>
      <c r="ED58" s="66"/>
    </row>
    <row r="59" spans="1:134" ht="15" customHeight="1">
      <c r="A59" s="254"/>
      <c r="B59" s="264" t="s">
        <v>1</v>
      </c>
    </row>
    <row r="60" spans="1:134">
      <c r="A60" s="258"/>
      <c r="B60" s="264" t="s">
        <v>1163</v>
      </c>
      <c r="AU60" s="66"/>
      <c r="AZ60" s="66"/>
      <c r="BF60" s="66"/>
      <c r="BL60" s="66"/>
      <c r="CT60" s="66"/>
      <c r="DI60" s="66"/>
    </row>
    <row r="61" spans="1:134">
      <c r="A61" s="259"/>
      <c r="B61" s="264" t="s">
        <v>285</v>
      </c>
      <c r="AY61" s="66"/>
      <c r="AZ61" s="66"/>
      <c r="BF61" s="66"/>
    </row>
    <row r="62" spans="1:134" ht="15" customHeight="1">
      <c r="A62" s="254"/>
      <c r="B62" s="264" t="s">
        <v>1</v>
      </c>
    </row>
    <row r="63" spans="1:134">
      <c r="A63" s="258"/>
      <c r="B63" s="264" t="s">
        <v>1165</v>
      </c>
      <c r="BL63" s="66"/>
      <c r="CX63" s="66"/>
      <c r="DI63" s="66"/>
    </row>
    <row r="64" spans="1:134">
      <c r="A64" s="259"/>
      <c r="B64" s="264" t="s">
        <v>1166</v>
      </c>
      <c r="D64" s="66"/>
      <c r="H64" s="66"/>
      <c r="P64" s="66"/>
      <c r="T64" s="66"/>
      <c r="AE64" s="66"/>
      <c r="AO64" s="66"/>
      <c r="AW64" s="66"/>
      <c r="BL64" s="66"/>
      <c r="CX64" s="66"/>
      <c r="DI64" s="66"/>
      <c r="ED64" s="66"/>
    </row>
    <row r="65" spans="1:134" ht="15" customHeight="1">
      <c r="A65" s="254"/>
      <c r="B65" s="264" t="s">
        <v>1</v>
      </c>
    </row>
    <row r="66" spans="1:134">
      <c r="A66" s="258"/>
      <c r="B66" s="264" t="s">
        <v>1168</v>
      </c>
      <c r="AZ66" s="66"/>
      <c r="BL66" s="66"/>
      <c r="CX66" s="66"/>
      <c r="DB66" s="66"/>
      <c r="DI66" s="66"/>
    </row>
    <row r="67" spans="1:134">
      <c r="A67" s="259"/>
      <c r="B67" s="264" t="s">
        <v>1169</v>
      </c>
      <c r="W67" s="66"/>
      <c r="AI67" s="66"/>
      <c r="AU67" s="66"/>
      <c r="BL67" s="66"/>
      <c r="DI67" s="66"/>
    </row>
    <row r="68" spans="1:134" ht="15" customHeight="1">
      <c r="A68" s="254"/>
      <c r="B68" s="264" t="s">
        <v>1</v>
      </c>
    </row>
    <row r="69" spans="1:134">
      <c r="A69" s="258"/>
      <c r="B69" s="264" t="s">
        <v>1170</v>
      </c>
      <c r="AZ69" s="66"/>
      <c r="DI69" s="66"/>
    </row>
    <row r="70" spans="1:134">
      <c r="A70" s="259"/>
      <c r="B70" s="264" t="s">
        <v>1171</v>
      </c>
      <c r="D70" s="66"/>
      <c r="H70" s="66"/>
      <c r="J70" s="66"/>
      <c r="L70" s="66"/>
      <c r="P70" s="66"/>
      <c r="W70" s="66"/>
      <c r="AE70" s="66"/>
      <c r="AI70" s="66"/>
      <c r="AK70" s="66"/>
      <c r="AO70" s="66"/>
      <c r="AR70" s="66"/>
      <c r="AU70" s="66"/>
      <c r="AZ70" s="66"/>
      <c r="BF70" s="66"/>
      <c r="BL70" s="66"/>
      <c r="CT70" s="66"/>
      <c r="CX70" s="66"/>
      <c r="DI70" s="66"/>
      <c r="DY70" s="66"/>
      <c r="EA70" s="66"/>
      <c r="ED70" s="66"/>
    </row>
    <row r="71" spans="1:134" ht="15" customHeight="1">
      <c r="A71" s="254"/>
      <c r="B71" s="264" t="s">
        <v>1</v>
      </c>
    </row>
    <row r="72" spans="1:134">
      <c r="A72" s="258"/>
      <c r="B72" s="264" t="s">
        <v>1173</v>
      </c>
      <c r="AZ72" s="66"/>
      <c r="BL72" s="66"/>
    </row>
    <row r="73" spans="1:134">
      <c r="A73" s="259"/>
      <c r="B73" s="264" t="s">
        <v>293</v>
      </c>
      <c r="D73" s="66"/>
      <c r="P73" s="66"/>
      <c r="AG73" s="66"/>
      <c r="AK73" s="66"/>
      <c r="AR73" s="66"/>
      <c r="AU73" s="66"/>
      <c r="AZ73" s="66"/>
      <c r="BK73" s="66"/>
      <c r="BL73" s="66"/>
      <c r="EC73" s="66"/>
    </row>
    <row r="74" spans="1:134" ht="15" customHeight="1">
      <c r="A74" s="254"/>
      <c r="B74" s="264" t="s">
        <v>1</v>
      </c>
    </row>
    <row r="75" spans="1:134">
      <c r="A75" s="258"/>
      <c r="B75" s="264" t="s">
        <v>1175</v>
      </c>
      <c r="AU75" s="66"/>
      <c r="AZ75" s="66"/>
      <c r="BF75" s="66"/>
      <c r="BL75" s="66"/>
      <c r="DI75" s="66"/>
    </row>
    <row r="76" spans="1:134">
      <c r="A76" s="259"/>
      <c r="B76" s="264" t="s">
        <v>295</v>
      </c>
      <c r="W76" s="66"/>
      <c r="AA76" s="66"/>
      <c r="AK76" s="66"/>
      <c r="AU76" s="66"/>
      <c r="AZ76" s="66"/>
      <c r="BE76" s="66"/>
      <c r="BF76" s="66"/>
      <c r="BK76" s="66"/>
      <c r="BL76" s="66"/>
      <c r="DB76" s="66"/>
      <c r="DI76" s="66"/>
      <c r="DU76" s="66"/>
    </row>
    <row r="77" spans="1:134" ht="15" customHeight="1">
      <c r="A77" s="254"/>
      <c r="B77" s="264" t="s">
        <v>1</v>
      </c>
    </row>
    <row r="78" spans="1:134">
      <c r="A78" s="258"/>
      <c r="B78" s="264" t="s">
        <v>1178</v>
      </c>
      <c r="AZ78" s="66"/>
      <c r="BL78" s="66"/>
      <c r="DI78" s="66"/>
    </row>
    <row r="79" spans="1:134">
      <c r="A79" s="259"/>
      <c r="B79" s="264" t="s">
        <v>1169</v>
      </c>
      <c r="H79" s="66"/>
      <c r="L79" s="66"/>
      <c r="Y79" s="66"/>
      <c r="AE79" s="66"/>
      <c r="AO79" s="66"/>
      <c r="AU79" s="66"/>
      <c r="AZ79" s="66"/>
      <c r="BK79" s="66"/>
      <c r="BL79" s="66"/>
      <c r="DI79" s="66"/>
    </row>
    <row r="80" spans="1:134" ht="15" customHeight="1">
      <c r="A80" s="254"/>
      <c r="B80" s="264" t="s">
        <v>1</v>
      </c>
    </row>
    <row r="81" spans="1:134">
      <c r="A81" s="258"/>
      <c r="B81" s="264" t="s">
        <v>1179</v>
      </c>
      <c r="AU81" s="66"/>
      <c r="AZ81" s="66"/>
      <c r="BL81" s="66"/>
      <c r="DI81" s="66"/>
    </row>
    <row r="82" spans="1:134">
      <c r="A82" s="259"/>
      <c r="B82" s="264" t="s">
        <v>1171</v>
      </c>
      <c r="F82" s="66"/>
      <c r="H82" s="66"/>
      <c r="L82" s="66"/>
      <c r="W82" s="66"/>
      <c r="Y82" s="66"/>
      <c r="AA82" s="66"/>
      <c r="AE82" s="66"/>
      <c r="AT82" s="66"/>
      <c r="AU82" s="66"/>
      <c r="AZ82" s="66"/>
      <c r="BH82" s="66"/>
      <c r="BL82" s="66"/>
      <c r="DI82" s="66"/>
    </row>
    <row r="83" spans="1:134" ht="15" customHeight="1">
      <c r="A83" s="254"/>
      <c r="B83" s="264" t="s">
        <v>1</v>
      </c>
    </row>
    <row r="84" spans="1:134">
      <c r="A84" s="258"/>
      <c r="B84" s="264" t="s">
        <v>1180</v>
      </c>
      <c r="AU84" s="66"/>
      <c r="AZ84" s="66"/>
      <c r="BL84" s="66"/>
    </row>
    <row r="85" spans="1:134">
      <c r="A85" s="259"/>
      <c r="B85" s="264" t="s">
        <v>1171</v>
      </c>
      <c r="L85" s="66"/>
      <c r="P85" s="66"/>
      <c r="AE85" s="66"/>
      <c r="AU85" s="66"/>
      <c r="AY85" s="66"/>
      <c r="BF85" s="66"/>
      <c r="CX85" s="66"/>
      <c r="ED85" s="66"/>
    </row>
    <row r="86" spans="1:134" ht="15" customHeight="1">
      <c r="A86" s="254"/>
      <c r="B86" s="264" t="s">
        <v>1</v>
      </c>
    </row>
    <row r="87" spans="1:134">
      <c r="A87" s="258"/>
      <c r="B87" s="264" t="s">
        <v>1181</v>
      </c>
      <c r="AI87" s="66"/>
      <c r="AZ87" s="66"/>
      <c r="BF87" s="66"/>
      <c r="BL87" s="66"/>
      <c r="DB87" s="66"/>
      <c r="DI87" s="66"/>
    </row>
    <row r="88" spans="1:134">
      <c r="A88" s="259"/>
      <c r="B88" s="264" t="s">
        <v>1171</v>
      </c>
      <c r="D88" s="66"/>
      <c r="W88" s="66"/>
      <c r="AE88" s="66"/>
      <c r="AI88" s="66"/>
      <c r="AU88" s="66"/>
      <c r="AZ88" s="66"/>
      <c r="BF88" s="66"/>
      <c r="BL88" s="66"/>
      <c r="CX88" s="66"/>
      <c r="DI88" s="66"/>
    </row>
    <row r="89" spans="1:134" ht="15" customHeight="1">
      <c r="A89" s="254"/>
      <c r="B89" s="264" t="s">
        <v>1</v>
      </c>
    </row>
    <row r="90" spans="1:134">
      <c r="A90" s="258"/>
      <c r="B90" s="264" t="s">
        <v>1182</v>
      </c>
      <c r="AZ90" s="66"/>
      <c r="BF90" s="66"/>
      <c r="BL90" s="66"/>
      <c r="DI90" s="66"/>
    </row>
    <row r="91" spans="1:134">
      <c r="A91" s="259"/>
      <c r="B91" s="264" t="s">
        <v>293</v>
      </c>
      <c r="J91" s="66"/>
      <c r="P91" s="66"/>
      <c r="T91" s="66"/>
      <c r="AA91" s="66"/>
      <c r="AK91" s="66"/>
      <c r="AT91" s="66"/>
      <c r="AW91" s="66"/>
      <c r="AZ91" s="66"/>
      <c r="BL91" s="66"/>
      <c r="CX91" s="66"/>
    </row>
    <row r="92" spans="1:134" ht="15" customHeight="1">
      <c r="A92" s="254"/>
      <c r="B92" s="264" t="s">
        <v>1</v>
      </c>
    </row>
    <row r="93" spans="1:134">
      <c r="A93" s="258"/>
      <c r="B93" s="264" t="s">
        <v>1183</v>
      </c>
      <c r="AP93" s="66"/>
      <c r="AZ93" s="66"/>
      <c r="BF93" s="66"/>
      <c r="BL93" s="66"/>
      <c r="CX93" s="66"/>
      <c r="DI93" s="66"/>
    </row>
    <row r="94" spans="1:134">
      <c r="A94" s="259"/>
      <c r="B94" s="264" t="s">
        <v>1184</v>
      </c>
      <c r="F94" s="66"/>
      <c r="L94" s="66"/>
      <c r="T94" s="66"/>
      <c r="AP94" s="66"/>
      <c r="AU94" s="66"/>
      <c r="BE94" s="66"/>
      <c r="BF94" s="66"/>
      <c r="BL94" s="66"/>
      <c r="CX94" s="66"/>
      <c r="DI94" s="66"/>
    </row>
    <row r="95" spans="1:134" ht="15" customHeight="1">
      <c r="A95" s="254"/>
      <c r="B95" s="264" t="s">
        <v>1</v>
      </c>
    </row>
    <row r="96" spans="1:134">
      <c r="A96" s="258"/>
      <c r="B96" s="260" t="s">
        <v>1185</v>
      </c>
      <c r="AP96" s="66"/>
      <c r="AU96" s="66"/>
      <c r="AZ96" s="66"/>
      <c r="BF96" s="66"/>
      <c r="BL96" s="66"/>
      <c r="DI96" s="66"/>
    </row>
    <row r="97" spans="1:134">
      <c r="A97" s="259"/>
      <c r="B97" s="260" t="s">
        <v>1186</v>
      </c>
      <c r="T97" s="66"/>
      <c r="AG97" s="66"/>
      <c r="AP97" s="66"/>
      <c r="AU97" s="66"/>
      <c r="AZ97" s="66"/>
      <c r="BB97" s="66"/>
      <c r="BF97" s="66"/>
      <c r="BL97" s="66"/>
      <c r="DI97" s="66"/>
    </row>
    <row r="98" spans="1:134" ht="15" customHeight="1">
      <c r="A98" s="254"/>
      <c r="B98" s="264" t="s">
        <v>1</v>
      </c>
    </row>
    <row r="99" spans="1:134">
      <c r="A99" s="258"/>
      <c r="B99" s="264" t="s">
        <v>1187</v>
      </c>
      <c r="AU99" s="66"/>
      <c r="AZ99" s="66"/>
      <c r="BL99" s="66"/>
      <c r="CT99" s="66"/>
      <c r="DI99" s="66"/>
    </row>
    <row r="100" spans="1:134">
      <c r="A100" s="259"/>
      <c r="B100" s="264" t="s">
        <v>1110</v>
      </c>
      <c r="W100" s="66"/>
      <c r="AU100" s="66"/>
      <c r="AZ100" s="66"/>
      <c r="BF100" s="66"/>
      <c r="BL100" s="66"/>
      <c r="CT100" s="66"/>
      <c r="DI100" s="66"/>
      <c r="DM100" s="66"/>
      <c r="DS100" s="66"/>
      <c r="DU100" s="66"/>
      <c r="DW100" s="66"/>
      <c r="ED100" s="66"/>
    </row>
    <row r="101" spans="1:134" ht="15" customHeight="1">
      <c r="A101" s="254"/>
      <c r="B101" s="264" t="s">
        <v>1</v>
      </c>
    </row>
    <row r="102" spans="1:134">
      <c r="A102" s="258"/>
      <c r="B102" s="264" t="s">
        <v>402</v>
      </c>
      <c r="AU102" s="66"/>
      <c r="AZ102" s="66"/>
      <c r="BL102" s="66"/>
      <c r="DI102" s="66"/>
    </row>
    <row r="103" spans="1:134">
      <c r="A103" s="259"/>
      <c r="B103" s="264" t="s">
        <v>1189</v>
      </c>
      <c r="J103" s="66"/>
      <c r="W103" s="66"/>
      <c r="AG103" s="66"/>
      <c r="AK103" s="66"/>
      <c r="AU103" s="66"/>
      <c r="AW103" s="66"/>
      <c r="AZ103" s="66"/>
      <c r="BL103" s="66"/>
      <c r="CT103" s="66"/>
    </row>
    <row r="104" spans="1:134" ht="15" customHeight="1">
      <c r="A104" s="254"/>
      <c r="B104" s="264" t="s">
        <v>1</v>
      </c>
    </row>
    <row r="105" spans="1:134">
      <c r="A105" s="258"/>
      <c r="B105" s="264" t="s">
        <v>402</v>
      </c>
      <c r="AP105" s="66"/>
      <c r="AU105" s="66"/>
      <c r="AZ105" s="66"/>
      <c r="BL105" s="66"/>
      <c r="CT105" s="66"/>
      <c r="ED105" s="66"/>
    </row>
    <row r="106" spans="1:134">
      <c r="A106" s="259"/>
      <c r="B106" s="264" t="s">
        <v>1190</v>
      </c>
      <c r="J106" s="66"/>
      <c r="AA106" s="66"/>
      <c r="AP106" s="66"/>
      <c r="AU106" s="66"/>
      <c r="AZ106" s="66"/>
      <c r="BB106" s="66"/>
      <c r="BE106" s="66"/>
      <c r="BH106" s="66"/>
      <c r="BL106" s="66"/>
      <c r="CT106" s="66"/>
      <c r="DI106" s="66"/>
      <c r="DS106" s="66"/>
      <c r="DU106" s="66"/>
      <c r="ED106" s="66"/>
    </row>
    <row r="107" spans="1:134" ht="15" customHeight="1">
      <c r="A107" s="254"/>
      <c r="B107" s="264" t="s">
        <v>1</v>
      </c>
    </row>
    <row r="108" spans="1:134">
      <c r="A108" s="258"/>
      <c r="B108" s="264" t="s">
        <v>1191</v>
      </c>
      <c r="AP108" s="66"/>
      <c r="AU108" s="66"/>
      <c r="AZ108" s="66"/>
      <c r="BL108" s="66"/>
      <c r="CT108" s="66"/>
      <c r="ED108" s="66"/>
    </row>
    <row r="109" spans="1:134">
      <c r="A109" s="259"/>
      <c r="B109" s="264" t="s">
        <v>1192</v>
      </c>
      <c r="J109" s="66"/>
      <c r="AA109" s="66"/>
      <c r="AK109" s="66"/>
      <c r="AU109" s="66"/>
      <c r="AZ109" s="66"/>
      <c r="BE109" s="66"/>
      <c r="BL109" s="66"/>
      <c r="DI109" s="66"/>
      <c r="ED109" s="66"/>
    </row>
    <row r="110" spans="1:134" ht="15" customHeight="1">
      <c r="A110" s="254"/>
      <c r="B110" s="264" t="s">
        <v>481</v>
      </c>
    </row>
    <row r="111" spans="1:134">
      <c r="A111" s="258"/>
      <c r="B111" s="264" t="s">
        <v>1193</v>
      </c>
      <c r="AZ111" s="66"/>
      <c r="BL111" s="66"/>
      <c r="DI111" s="66"/>
    </row>
    <row r="112" spans="1:134">
      <c r="A112" s="259"/>
      <c r="B112" s="264" t="s">
        <v>1194</v>
      </c>
      <c r="J112" s="66"/>
      <c r="W112" s="66"/>
      <c r="AA112" s="66"/>
      <c r="AG112" s="66"/>
      <c r="BB112" s="66"/>
      <c r="BH112" s="66"/>
      <c r="DI112" s="66"/>
    </row>
    <row r="113" spans="1:129" ht="15" customHeight="1">
      <c r="A113" s="254"/>
      <c r="B113" s="264" t="s">
        <v>1</v>
      </c>
    </row>
    <row r="114" spans="1:129">
      <c r="A114" s="258"/>
      <c r="B114" s="264" t="s">
        <v>402</v>
      </c>
      <c r="AP114" s="66"/>
      <c r="AU114" s="66"/>
      <c r="AZ114" s="66"/>
      <c r="BL114" s="66"/>
    </row>
    <row r="115" spans="1:129">
      <c r="A115" s="259"/>
      <c r="B115" s="264" t="s">
        <v>2</v>
      </c>
      <c r="D115" s="66"/>
      <c r="H115" s="66"/>
      <c r="J115" s="66"/>
      <c r="AA115" s="66"/>
      <c r="AE115" s="66"/>
      <c r="AG115" s="66"/>
      <c r="AP115" s="66"/>
      <c r="AR115" s="66"/>
      <c r="AU115" s="66"/>
      <c r="AZ115" s="66"/>
      <c r="BH115" s="66"/>
      <c r="BL115" s="66"/>
      <c r="DY115" s="66"/>
    </row>
    <row r="116" spans="1:129" ht="15" customHeight="1">
      <c r="A116" s="254"/>
      <c r="B116" s="264" t="s">
        <v>1</v>
      </c>
    </row>
    <row r="117" spans="1:129" ht="15" customHeight="1">
      <c r="A117" s="255"/>
      <c r="B117" s="264" t="s">
        <v>464</v>
      </c>
      <c r="AU117" s="66"/>
      <c r="AZ117" s="66"/>
      <c r="BL117" s="66"/>
    </row>
    <row r="118" spans="1:129">
      <c r="A118" s="256"/>
      <c r="B118" s="264" t="s">
        <v>465</v>
      </c>
      <c r="F118" s="66"/>
      <c r="P118" s="66"/>
      <c r="AA118" s="66"/>
      <c r="AP118" s="66"/>
      <c r="AU118" s="66"/>
      <c r="AZ118" s="66"/>
      <c r="BL118" s="66"/>
    </row>
    <row r="119" spans="1:129">
      <c r="A119" s="256"/>
      <c r="B119" s="264" t="s">
        <v>481</v>
      </c>
    </row>
    <row r="120" spans="1:129">
      <c r="A120" s="256"/>
      <c r="B120" s="264" t="s">
        <v>1196</v>
      </c>
      <c r="AP120" s="66"/>
      <c r="AU120" s="66"/>
      <c r="AZ120" s="66"/>
      <c r="BL120" s="66"/>
    </row>
    <row r="121" spans="1:129">
      <c r="A121" s="257"/>
      <c r="B121" s="264" t="s">
        <v>1141</v>
      </c>
      <c r="AP121" s="66"/>
      <c r="AU121" s="66"/>
      <c r="BF121" s="66"/>
    </row>
    <row r="122" spans="1:129">
      <c r="A122" s="160"/>
      <c r="B122" s="264" t="s">
        <v>1</v>
      </c>
    </row>
    <row r="123" spans="1:129">
      <c r="A123" s="160"/>
      <c r="B123" s="264" t="s">
        <v>1197</v>
      </c>
      <c r="AP123" s="66"/>
      <c r="AU123" s="66"/>
      <c r="AZ123" s="66"/>
      <c r="BL123" s="66"/>
    </row>
    <row r="124" spans="1:129">
      <c r="A124" s="160"/>
      <c r="B124" s="264" t="s">
        <v>469</v>
      </c>
      <c r="W124" s="66"/>
      <c r="AA124" s="66"/>
      <c r="AP124" s="66"/>
      <c r="AU124" s="66"/>
      <c r="BB124" s="66"/>
      <c r="BE124" s="66"/>
      <c r="BH124" s="66"/>
      <c r="BK124" s="66"/>
      <c r="BL124" s="66"/>
    </row>
    <row r="125" spans="1:129">
      <c r="A125" s="160"/>
      <c r="B125" s="264" t="s">
        <v>1</v>
      </c>
    </row>
    <row r="126" spans="1:129">
      <c r="A126" s="160"/>
      <c r="B126" s="264" t="s">
        <v>470</v>
      </c>
      <c r="AP126" s="66"/>
      <c r="AU126" s="66"/>
      <c r="AZ126" s="66"/>
      <c r="BL126" s="66"/>
    </row>
    <row r="127" spans="1:129">
      <c r="A127" s="160"/>
      <c r="B127" s="264" t="s">
        <v>465</v>
      </c>
      <c r="P127" s="66"/>
      <c r="R127" s="66"/>
      <c r="W127" s="66"/>
      <c r="AA127" s="66"/>
      <c r="AP127" s="66"/>
      <c r="AU127" s="66"/>
      <c r="BB127" s="66"/>
      <c r="BE127" s="66"/>
      <c r="BL127" s="66"/>
    </row>
    <row r="128" spans="1:129">
      <c r="A128" s="160"/>
      <c r="B128" s="264" t="s">
        <v>481</v>
      </c>
    </row>
    <row r="129" spans="1:134">
      <c r="A129" s="160"/>
      <c r="B129" s="264" t="s">
        <v>1199</v>
      </c>
      <c r="AP129" s="66"/>
      <c r="AU129" s="66"/>
      <c r="AZ129" s="66"/>
      <c r="BL129" s="66"/>
    </row>
    <row r="130" spans="1:134">
      <c r="A130" s="160"/>
      <c r="B130" s="264" t="s">
        <v>1200</v>
      </c>
      <c r="AP130" s="66"/>
      <c r="AU130" s="66"/>
      <c r="BE130" s="66"/>
      <c r="BL130" s="66"/>
    </row>
    <row r="131" spans="1:134">
      <c r="A131" s="160"/>
      <c r="B131" s="264" t="s">
        <v>1</v>
      </c>
    </row>
    <row r="132" spans="1:134">
      <c r="A132" s="160"/>
      <c r="B132" s="264" t="s">
        <v>404</v>
      </c>
      <c r="AP132" s="66"/>
      <c r="AU132" s="66"/>
      <c r="AZ132" s="66"/>
      <c r="BL132" s="66"/>
      <c r="CX132" s="66"/>
      <c r="DI132" s="66"/>
    </row>
    <row r="133" spans="1:134">
      <c r="A133" s="160"/>
      <c r="B133" s="264" t="s">
        <v>405</v>
      </c>
      <c r="R133" s="66"/>
      <c r="Y133" s="66"/>
      <c r="AG133" s="66"/>
      <c r="AU133" s="66"/>
      <c r="AZ133" s="66"/>
      <c r="BB133" s="66"/>
      <c r="BH133" s="66"/>
      <c r="BK133" s="66"/>
      <c r="BL133" s="66"/>
      <c r="CT133" s="66"/>
      <c r="DU133" s="66"/>
    </row>
    <row r="134" spans="1:134">
      <c r="A134" s="160"/>
      <c r="B134" s="264" t="s">
        <v>1</v>
      </c>
    </row>
    <row r="135" spans="1:134">
      <c r="A135" s="160"/>
      <c r="B135" s="264" t="s">
        <v>473</v>
      </c>
      <c r="AP135" s="66"/>
      <c r="AU135" s="66"/>
      <c r="AZ135" s="66"/>
      <c r="BL135" s="66"/>
      <c r="CX135" s="66"/>
      <c r="DI135" s="66"/>
    </row>
    <row r="136" spans="1:134">
      <c r="A136" s="160"/>
      <c r="B136" s="264" t="s">
        <v>474</v>
      </c>
      <c r="D136" s="66"/>
      <c r="R136" s="66"/>
      <c r="Y136" s="66"/>
      <c r="AG136" s="66"/>
      <c r="AP136" s="66"/>
      <c r="AU136" s="66"/>
      <c r="AZ136" s="66"/>
      <c r="BE136" s="66"/>
      <c r="BL136" s="66"/>
    </row>
    <row r="137" spans="1:134">
      <c r="A137" s="160"/>
      <c r="B137" s="264" t="s">
        <v>481</v>
      </c>
    </row>
    <row r="138" spans="1:134">
      <c r="A138" s="160"/>
      <c r="B138" s="264" t="s">
        <v>1201</v>
      </c>
      <c r="AP138" s="66"/>
      <c r="AU138" s="66"/>
      <c r="BL138" s="66"/>
    </row>
    <row r="139" spans="1:134">
      <c r="A139" s="160"/>
      <c r="B139" s="264" t="s">
        <v>1202</v>
      </c>
      <c r="AA139" s="66"/>
      <c r="AP139" s="66"/>
      <c r="AT139" s="66"/>
      <c r="AU139" s="66"/>
      <c r="AZ139" s="66"/>
      <c r="BL139" s="66"/>
    </row>
    <row r="140" spans="1:134">
      <c r="A140" s="160"/>
      <c r="B140" s="264" t="s">
        <v>1</v>
      </c>
    </row>
    <row r="141" spans="1:134">
      <c r="A141" s="160"/>
      <c r="B141" s="264" t="s">
        <v>406</v>
      </c>
      <c r="AU141" s="66"/>
      <c r="AZ141" s="66"/>
      <c r="BL141" s="66"/>
      <c r="ED141" s="66"/>
    </row>
    <row r="142" spans="1:134">
      <c r="A142" s="160"/>
      <c r="B142" s="264" t="s">
        <v>3</v>
      </c>
      <c r="D142" s="66"/>
      <c r="AK142" s="66"/>
      <c r="AO142" s="66"/>
      <c r="AU142" s="66"/>
      <c r="AZ142" s="66"/>
      <c r="BE142" s="66"/>
      <c r="BH142" s="66"/>
      <c r="DI142" s="66"/>
    </row>
    <row r="143" spans="1:134">
      <c r="A143" s="160"/>
      <c r="B143" s="264" t="s">
        <v>1</v>
      </c>
    </row>
    <row r="144" spans="1:134">
      <c r="A144" s="160"/>
      <c r="B144" s="264" t="s">
        <v>1203</v>
      </c>
      <c r="AP144" s="66"/>
      <c r="AU144" s="66"/>
      <c r="AZ144" s="66"/>
      <c r="BL144" s="66"/>
      <c r="DI144" s="66"/>
    </row>
    <row r="145" spans="1:134">
      <c r="A145" s="160"/>
      <c r="B145" s="264" t="s">
        <v>477</v>
      </c>
      <c r="T145" s="66"/>
      <c r="AA145" s="66"/>
      <c r="AK145" s="66"/>
      <c r="AP145" s="66"/>
      <c r="AU145" s="66"/>
      <c r="AZ145" s="66"/>
      <c r="BH145" s="66"/>
      <c r="BL145" s="66"/>
    </row>
    <row r="146" spans="1:134">
      <c r="A146" s="160"/>
      <c r="B146" s="264" t="s">
        <v>1</v>
      </c>
    </row>
    <row r="147" spans="1:134">
      <c r="A147" s="160"/>
      <c r="B147" s="264" t="s">
        <v>402</v>
      </c>
      <c r="AU147" s="66"/>
      <c r="AZ147" s="66"/>
      <c r="BL147" s="66"/>
    </row>
    <row r="148" spans="1:134">
      <c r="A148" s="160"/>
      <c r="B148" s="264" t="s">
        <v>407</v>
      </c>
      <c r="P148" s="66"/>
      <c r="R148" s="66"/>
      <c r="AU148" s="66"/>
      <c r="AW148" s="66"/>
      <c r="AY148" s="66"/>
      <c r="AZ148" s="66"/>
      <c r="BL148" s="66"/>
    </row>
    <row r="149" spans="1:134">
      <c r="A149" s="160"/>
      <c r="B149" s="264" t="s">
        <v>1</v>
      </c>
    </row>
    <row r="150" spans="1:134">
      <c r="A150" s="160"/>
      <c r="B150" s="264" t="s">
        <v>403</v>
      </c>
      <c r="AU150" s="66"/>
      <c r="AZ150" s="66"/>
      <c r="BL150" s="66"/>
      <c r="DI150" s="66"/>
    </row>
    <row r="151" spans="1:134">
      <c r="A151" s="160"/>
      <c r="B151" s="264" t="s">
        <v>408</v>
      </c>
      <c r="W151" s="66"/>
      <c r="AK151" s="66"/>
      <c r="AU151" s="66"/>
      <c r="BL151" s="66"/>
      <c r="CO151" s="66"/>
      <c r="CT151" s="66"/>
      <c r="DI151" s="66"/>
      <c r="DM151" s="66"/>
      <c r="ED151" s="66"/>
    </row>
    <row r="152" spans="1:134">
      <c r="A152" s="160"/>
      <c r="B152" s="264" t="s">
        <v>1</v>
      </c>
    </row>
    <row r="153" spans="1:134">
      <c r="A153" s="160"/>
      <c r="B153" s="264" t="s">
        <v>412</v>
      </c>
      <c r="AU153" s="66"/>
      <c r="AZ153" s="66"/>
      <c r="BL153" s="66"/>
    </row>
    <row r="154" spans="1:134">
      <c r="A154" s="160"/>
      <c r="B154" s="264" t="s">
        <v>478</v>
      </c>
      <c r="F154" s="66"/>
      <c r="AE154" s="66"/>
      <c r="AO154" s="66"/>
      <c r="AP154" s="66"/>
      <c r="AT154" s="66"/>
      <c r="AU154" s="66"/>
      <c r="AW154" s="66"/>
      <c r="AZ154" s="66"/>
      <c r="BL154" s="66"/>
    </row>
    <row r="155" spans="1:134">
      <c r="A155" s="160"/>
      <c r="B155" s="264" t="s">
        <v>1</v>
      </c>
    </row>
    <row r="156" spans="1:134">
      <c r="A156" s="160"/>
      <c r="B156" s="264" t="s">
        <v>402</v>
      </c>
      <c r="AU156" s="66"/>
      <c r="BL156" s="66"/>
      <c r="DI156" s="66"/>
    </row>
    <row r="157" spans="1:134">
      <c r="A157" s="160"/>
      <c r="B157" s="264" t="s">
        <v>409</v>
      </c>
      <c r="P157" s="66"/>
      <c r="R157" s="66"/>
      <c r="W157" s="66"/>
      <c r="AK157" s="66"/>
      <c r="AP157" s="66"/>
      <c r="AU157" s="66"/>
      <c r="BL157" s="66"/>
    </row>
    <row r="158" spans="1:134">
      <c r="A158" s="160"/>
      <c r="B158" s="264" t="s">
        <v>1</v>
      </c>
    </row>
    <row r="159" spans="1:134">
      <c r="A159" s="160"/>
      <c r="B159" s="264" t="s">
        <v>402</v>
      </c>
      <c r="AP159" s="66"/>
      <c r="AU159" s="66"/>
      <c r="AZ159" s="66"/>
      <c r="BL159" s="66"/>
    </row>
    <row r="160" spans="1:134">
      <c r="A160" s="160"/>
      <c r="B160" s="264" t="s">
        <v>410</v>
      </c>
      <c r="T160" s="66"/>
      <c r="W160" s="66"/>
      <c r="AP160" s="66"/>
      <c r="AU160" s="66"/>
      <c r="AZ160" s="66"/>
      <c r="BL160" s="66"/>
    </row>
    <row r="161" spans="1:125">
      <c r="A161" s="160"/>
      <c r="B161" s="264" t="s">
        <v>1</v>
      </c>
    </row>
    <row r="162" spans="1:125">
      <c r="A162" s="160"/>
      <c r="B162" s="264" t="s">
        <v>479</v>
      </c>
      <c r="AP162" s="66"/>
      <c r="AU162" s="66"/>
      <c r="AZ162" s="66"/>
      <c r="BL162" s="66"/>
    </row>
    <row r="163" spans="1:125">
      <c r="A163" s="160"/>
      <c r="B163" s="264" t="s">
        <v>480</v>
      </c>
      <c r="W163" s="66"/>
      <c r="AE163" s="66"/>
      <c r="AP163" s="66"/>
      <c r="AU163" s="66"/>
      <c r="AZ163" s="66"/>
      <c r="BL163" s="66"/>
    </row>
    <row r="164" spans="1:125">
      <c r="A164" s="160"/>
      <c r="B164" s="264" t="s">
        <v>481</v>
      </c>
    </row>
    <row r="165" spans="1:125">
      <c r="A165" s="160"/>
      <c r="B165" s="264" t="s">
        <v>482</v>
      </c>
      <c r="AP165" s="66"/>
      <c r="AU165" s="66"/>
      <c r="AZ165" s="66"/>
      <c r="BL165" s="66"/>
    </row>
    <row r="166" spans="1:125">
      <c r="A166" s="160"/>
      <c r="B166" s="264" t="s">
        <v>1204</v>
      </c>
      <c r="Y166" s="66"/>
      <c r="AG166" s="66"/>
      <c r="AP166" s="66"/>
      <c r="AU166" s="66"/>
      <c r="AZ166" s="66"/>
      <c r="BB166" s="66"/>
      <c r="BL166" s="66"/>
    </row>
    <row r="167" spans="1:125">
      <c r="A167" s="160"/>
      <c r="B167" s="264" t="s">
        <v>481</v>
      </c>
    </row>
    <row r="168" spans="1:125">
      <c r="A168" s="160"/>
      <c r="B168" s="264" t="s">
        <v>1205</v>
      </c>
      <c r="AP168" s="66"/>
      <c r="AU168" s="66"/>
      <c r="AZ168" s="66"/>
      <c r="BL168" s="66"/>
    </row>
    <row r="169" spans="1:125">
      <c r="A169" s="160"/>
      <c r="B169" s="264" t="s">
        <v>485</v>
      </c>
      <c r="F169" s="66"/>
      <c r="Y169" s="66"/>
      <c r="AA169" s="66"/>
      <c r="AK169" s="66"/>
      <c r="AP169" s="66"/>
      <c r="AU169" s="66"/>
    </row>
    <row r="170" spans="1:125">
      <c r="A170" s="160"/>
      <c r="B170" s="264" t="s">
        <v>1</v>
      </c>
    </row>
    <row r="171" spans="1:125">
      <c r="A171" s="160"/>
      <c r="B171" s="264" t="s">
        <v>1203</v>
      </c>
      <c r="AP171" s="66"/>
      <c r="AU171" s="66"/>
      <c r="AZ171" s="66"/>
      <c r="BL171" s="66"/>
      <c r="DI171" s="66"/>
    </row>
    <row r="172" spans="1:125">
      <c r="A172" s="160"/>
      <c r="B172" s="264" t="s">
        <v>486</v>
      </c>
      <c r="P172" s="66"/>
      <c r="AP172" s="66"/>
      <c r="AU172" s="66"/>
      <c r="AZ172" s="66"/>
      <c r="DI172" s="66"/>
    </row>
    <row r="173" spans="1:125">
      <c r="A173" s="160"/>
      <c r="B173" s="264" t="s">
        <v>1</v>
      </c>
    </row>
    <row r="174" spans="1:125">
      <c r="A174" s="160"/>
      <c r="B174" s="264" t="s">
        <v>411</v>
      </c>
      <c r="AU174" s="66"/>
      <c r="AZ174" s="66"/>
      <c r="BL174" s="66"/>
    </row>
    <row r="175" spans="1:125">
      <c r="A175" s="160"/>
      <c r="B175" s="264" t="s">
        <v>4</v>
      </c>
      <c r="D175" s="66"/>
      <c r="P175" s="66"/>
      <c r="AK175" s="66"/>
      <c r="AR175" s="66"/>
      <c r="AU175" s="66"/>
      <c r="AW175" s="66"/>
      <c r="AZ175" s="66"/>
      <c r="BK175" s="66"/>
      <c r="BL175" s="66"/>
      <c r="DI175" s="66"/>
      <c r="DS175" s="66"/>
      <c r="DU175" s="66"/>
    </row>
    <row r="176" spans="1:125">
      <c r="A176" s="160"/>
      <c r="B176" s="264" t="s">
        <v>1</v>
      </c>
    </row>
    <row r="177" spans="1:134">
      <c r="A177" s="160"/>
      <c r="B177" s="264" t="s">
        <v>1203</v>
      </c>
      <c r="AP177" s="66"/>
      <c r="AU177" s="66"/>
      <c r="AZ177" s="66"/>
      <c r="BL177" s="66"/>
      <c r="ED177" s="66"/>
    </row>
    <row r="178" spans="1:134">
      <c r="A178" s="160"/>
      <c r="B178" s="264" t="s">
        <v>5</v>
      </c>
      <c r="F178" s="66"/>
      <c r="AA178" s="66"/>
      <c r="AP178" s="66"/>
    </row>
    <row r="179" spans="1:134">
      <c r="A179" s="160"/>
      <c r="B179" s="264" t="s">
        <v>1</v>
      </c>
    </row>
    <row r="180" spans="1:134">
      <c r="A180" s="160"/>
      <c r="B180" s="264" t="s">
        <v>411</v>
      </c>
      <c r="AP180" s="66"/>
      <c r="AU180" s="66"/>
      <c r="AZ180" s="66"/>
      <c r="BL180" s="66"/>
      <c r="DI180" s="66"/>
    </row>
    <row r="181" spans="1:134">
      <c r="A181" s="160"/>
      <c r="B181" s="264" t="s">
        <v>413</v>
      </c>
      <c r="J181" s="66"/>
      <c r="P181" s="66"/>
      <c r="R181" s="66"/>
      <c r="T181" s="66"/>
      <c r="AA181" s="66"/>
      <c r="AG181" s="66"/>
      <c r="AP181" s="66"/>
      <c r="AU181" s="66"/>
      <c r="AW181" s="66"/>
      <c r="BH181" s="66"/>
      <c r="BL181" s="66"/>
      <c r="EA181" s="66"/>
    </row>
    <row r="182" spans="1:134">
      <c r="A182" s="160"/>
      <c r="B182" s="264" t="s">
        <v>1</v>
      </c>
    </row>
    <row r="183" spans="1:134">
      <c r="A183" s="160"/>
      <c r="B183" s="264" t="s">
        <v>1203</v>
      </c>
      <c r="AZ183" s="66"/>
      <c r="BL183" s="66"/>
      <c r="ED183" s="66"/>
    </row>
    <row r="184" spans="1:134">
      <c r="A184" s="160"/>
      <c r="B184" s="264" t="s">
        <v>6</v>
      </c>
      <c r="F184" s="66"/>
      <c r="J184" s="66"/>
      <c r="L184" s="66"/>
      <c r="P184" s="66"/>
      <c r="Y184" s="66"/>
      <c r="BL184" s="66"/>
    </row>
    <row r="185" spans="1:134">
      <c r="A185" s="160"/>
      <c r="B185" s="264" t="s">
        <v>1</v>
      </c>
    </row>
    <row r="186" spans="1:134">
      <c r="A186" s="160"/>
      <c r="B186" s="264" t="s">
        <v>412</v>
      </c>
      <c r="AU186" s="66"/>
      <c r="AZ186" s="66"/>
      <c r="BL186" s="66"/>
      <c r="ED186" s="66"/>
    </row>
    <row r="187" spans="1:134">
      <c r="A187" s="160"/>
      <c r="B187" s="264" t="s">
        <v>414</v>
      </c>
      <c r="F187" s="66"/>
      <c r="J187" s="66"/>
      <c r="L187" s="66"/>
      <c r="R187" s="66"/>
      <c r="AE187" s="66"/>
      <c r="AG187" s="66"/>
      <c r="AU187" s="66"/>
      <c r="AZ187" s="66"/>
      <c r="BL187" s="66"/>
    </row>
    <row r="188" spans="1:134">
      <c r="A188" s="160"/>
      <c r="B188" s="264" t="s">
        <v>1</v>
      </c>
    </row>
    <row r="189" spans="1:134">
      <c r="A189" s="160"/>
      <c r="B189" s="264" t="s">
        <v>412</v>
      </c>
      <c r="AZ189" s="66"/>
      <c r="BL189" s="66"/>
      <c r="CT189" s="66"/>
    </row>
    <row r="190" spans="1:134">
      <c r="A190" s="160"/>
      <c r="B190" s="264" t="s">
        <v>487</v>
      </c>
      <c r="D190" s="66"/>
      <c r="P190" s="66"/>
      <c r="Y190" s="66"/>
      <c r="AP190" s="66"/>
      <c r="AU190" s="66"/>
      <c r="AZ190" s="66"/>
      <c r="BL190" s="66"/>
      <c r="ED190" s="66"/>
    </row>
    <row r="191" spans="1:134">
      <c r="A191" s="160"/>
      <c r="B191" s="264" t="s">
        <v>1</v>
      </c>
    </row>
    <row r="192" spans="1:134">
      <c r="A192" s="160"/>
      <c r="B192" s="264" t="s">
        <v>412</v>
      </c>
      <c r="AP192" s="66"/>
      <c r="AU192" s="66"/>
      <c r="AZ192" s="66"/>
      <c r="BL192" s="66"/>
    </row>
    <row r="193" spans="1:134">
      <c r="A193" s="160"/>
      <c r="B193" s="264" t="s">
        <v>488</v>
      </c>
      <c r="J193" s="66"/>
      <c r="L193" s="66"/>
      <c r="AG193" s="66"/>
      <c r="AK193" s="66"/>
      <c r="AP193" s="66"/>
      <c r="AU193" s="66"/>
      <c r="AZ193" s="66"/>
      <c r="BL193" s="66"/>
    </row>
    <row r="194" spans="1:134">
      <c r="A194" s="160"/>
      <c r="B194" s="264" t="s">
        <v>1</v>
      </c>
    </row>
    <row r="195" spans="1:134">
      <c r="A195" s="160"/>
      <c r="B195" s="264" t="s">
        <v>403</v>
      </c>
      <c r="AU195" s="66"/>
      <c r="AZ195" s="66"/>
      <c r="BL195" s="66"/>
      <c r="CT195" s="66"/>
      <c r="DI195" s="66"/>
    </row>
    <row r="196" spans="1:134">
      <c r="A196" s="160"/>
      <c r="B196" s="264" t="s">
        <v>415</v>
      </c>
      <c r="P196" s="66"/>
      <c r="R196" s="66"/>
      <c r="T196" s="66"/>
      <c r="AP196" s="66"/>
      <c r="AR196" s="66"/>
      <c r="AU196" s="66"/>
      <c r="AW196" s="66"/>
      <c r="AZ196" s="66"/>
      <c r="BK196" s="66"/>
      <c r="BL196" s="66"/>
      <c r="DS196" s="66"/>
      <c r="DU196" s="66"/>
      <c r="DW196" s="66"/>
      <c r="DY196" s="66"/>
    </row>
    <row r="197" spans="1:134">
      <c r="A197" s="160"/>
      <c r="B197" s="264" t="s">
        <v>1</v>
      </c>
    </row>
    <row r="198" spans="1:134">
      <c r="A198" s="160"/>
      <c r="B198" s="264" t="s">
        <v>402</v>
      </c>
      <c r="W198" s="66"/>
      <c r="AU198" s="66"/>
      <c r="AZ198" s="66"/>
      <c r="BL198" s="66"/>
    </row>
    <row r="199" spans="1:134">
      <c r="A199" s="160"/>
      <c r="B199" s="264" t="s">
        <v>416</v>
      </c>
      <c r="AP199" s="66"/>
      <c r="AT199" s="66"/>
      <c r="AW199" s="66"/>
      <c r="BE199" s="66"/>
      <c r="BL199" s="66"/>
    </row>
    <row r="200" spans="1:134">
      <c r="A200" s="160"/>
      <c r="B200" s="264" t="s">
        <v>1</v>
      </c>
    </row>
    <row r="201" spans="1:134">
      <c r="A201" s="160"/>
      <c r="B201" s="264" t="s">
        <v>489</v>
      </c>
      <c r="W201" s="66"/>
      <c r="AP201" s="66"/>
      <c r="AU201" s="66"/>
      <c r="AZ201" s="66"/>
      <c r="BL201" s="66"/>
      <c r="DI201" s="66"/>
      <c r="ED201" s="66"/>
    </row>
    <row r="202" spans="1:134">
      <c r="A202" s="160"/>
      <c r="B202" s="264" t="s">
        <v>490</v>
      </c>
      <c r="F202" s="66"/>
      <c r="T202" s="66"/>
      <c r="AU202" s="66"/>
      <c r="AZ202" s="66"/>
      <c r="BL202" s="66"/>
    </row>
    <row r="203" spans="1:134">
      <c r="A203" s="160"/>
      <c r="B203" s="264" t="s">
        <v>481</v>
      </c>
    </row>
    <row r="204" spans="1:134">
      <c r="A204" s="160"/>
      <c r="B204" s="264" t="s">
        <v>1206</v>
      </c>
      <c r="AU204" s="66"/>
      <c r="AZ204" s="66"/>
      <c r="BL204" s="66"/>
      <c r="ED204" s="66"/>
    </row>
    <row r="205" spans="1:134">
      <c r="A205" s="160"/>
      <c r="B205" s="264" t="s">
        <v>465</v>
      </c>
      <c r="AK205" s="66"/>
      <c r="AO205" s="66"/>
      <c r="AW205" s="66"/>
      <c r="AZ205" s="66"/>
      <c r="BL205" s="66"/>
    </row>
    <row r="206" spans="1:134">
      <c r="A206" s="160"/>
      <c r="B206" s="264" t="s">
        <v>481</v>
      </c>
    </row>
    <row r="207" spans="1:134">
      <c r="A207" s="160"/>
      <c r="B207" s="264" t="s">
        <v>1207</v>
      </c>
      <c r="W207" s="66"/>
      <c r="AU207" s="66"/>
      <c r="AZ207" s="66"/>
      <c r="BL207" s="66"/>
      <c r="DI207" s="66"/>
      <c r="ED207" s="66"/>
    </row>
    <row r="208" spans="1:134">
      <c r="A208" s="160"/>
      <c r="B208" s="264" t="s">
        <v>465</v>
      </c>
      <c r="F208" s="66"/>
      <c r="W208" s="66"/>
      <c r="AY208" s="66"/>
      <c r="AZ208" s="66"/>
      <c r="BL208" s="66"/>
    </row>
    <row r="209" spans="1:129">
      <c r="A209" s="160"/>
      <c r="B209" s="264" t="s">
        <v>1</v>
      </c>
    </row>
    <row r="210" spans="1:129">
      <c r="A210" s="160"/>
      <c r="B210" s="264" t="s">
        <v>402</v>
      </c>
      <c r="AP210" s="66"/>
      <c r="AZ210" s="66"/>
    </row>
    <row r="211" spans="1:129">
      <c r="A211" s="160"/>
      <c r="B211" s="264" t="s">
        <v>417</v>
      </c>
      <c r="W211" s="66"/>
      <c r="AG211" s="66"/>
      <c r="AP211" s="66"/>
      <c r="AU211" s="66"/>
      <c r="AZ211" s="66"/>
      <c r="BL211" s="66"/>
    </row>
    <row r="212" spans="1:129">
      <c r="A212" s="160"/>
      <c r="B212" s="264" t="s">
        <v>1</v>
      </c>
    </row>
    <row r="213" spans="1:129">
      <c r="A213" s="160"/>
      <c r="B213" s="264" t="s">
        <v>494</v>
      </c>
      <c r="AP213" s="66"/>
      <c r="AU213" s="66"/>
      <c r="AZ213" s="66"/>
      <c r="BL213" s="66"/>
    </row>
    <row r="214" spans="1:129">
      <c r="A214" s="160"/>
      <c r="B214" s="264" t="s">
        <v>465</v>
      </c>
      <c r="D214" s="66"/>
      <c r="Y214" s="66"/>
      <c r="AO214" s="66"/>
      <c r="AP214" s="66"/>
      <c r="AT214" s="66"/>
      <c r="AU214" s="66"/>
      <c r="AZ214" s="66"/>
      <c r="BL214" s="66"/>
    </row>
    <row r="215" spans="1:129">
      <c r="A215" s="160"/>
      <c r="B215" s="264" t="s">
        <v>481</v>
      </c>
    </row>
    <row r="216" spans="1:129">
      <c r="A216" s="160"/>
      <c r="B216" s="264" t="s">
        <v>1208</v>
      </c>
      <c r="AU216" s="66"/>
      <c r="AZ216" s="66"/>
      <c r="BL216" s="66"/>
    </row>
    <row r="217" spans="1:129">
      <c r="A217" s="160"/>
      <c r="B217" s="264" t="s">
        <v>1145</v>
      </c>
      <c r="W217" s="66"/>
      <c r="AG217" s="66"/>
      <c r="AP217" s="66"/>
      <c r="AU217" s="66"/>
      <c r="AZ217" s="66"/>
      <c r="BL217" s="66"/>
    </row>
    <row r="218" spans="1:129">
      <c r="A218" s="160"/>
      <c r="B218" s="264" t="s">
        <v>1</v>
      </c>
    </row>
    <row r="219" spans="1:129">
      <c r="A219" s="160"/>
      <c r="B219" s="264" t="s">
        <v>411</v>
      </c>
      <c r="AP219" s="66"/>
      <c r="AZ219" s="66"/>
      <c r="BL219" s="66"/>
    </row>
    <row r="220" spans="1:129">
      <c r="A220" s="160"/>
      <c r="B220" s="264" t="s">
        <v>7</v>
      </c>
      <c r="J220" s="66"/>
      <c r="P220" s="66"/>
      <c r="R220" s="66"/>
      <c r="AG220" s="66"/>
      <c r="AP220" s="66"/>
      <c r="AU220" s="66"/>
      <c r="AZ220" s="66"/>
      <c r="BL220" s="66"/>
      <c r="DY220" s="66"/>
    </row>
    <row r="221" spans="1:129">
      <c r="A221" s="160"/>
      <c r="B221" s="264" t="s">
        <v>1</v>
      </c>
    </row>
    <row r="222" spans="1:129">
      <c r="A222" s="160"/>
      <c r="B222" s="264" t="s">
        <v>412</v>
      </c>
      <c r="AP222" s="66"/>
      <c r="AU222" s="66"/>
      <c r="AZ222" s="66"/>
      <c r="BL222" s="66"/>
    </row>
    <row r="223" spans="1:129">
      <c r="A223" s="160"/>
      <c r="B223" s="264" t="s">
        <v>418</v>
      </c>
      <c r="F223" s="66"/>
      <c r="H223" s="66"/>
      <c r="J223" s="66"/>
      <c r="Y223" s="66"/>
      <c r="AA223" s="66"/>
      <c r="AG223" s="66"/>
      <c r="AP223" s="66"/>
      <c r="AU223" s="66"/>
      <c r="AZ223" s="66"/>
      <c r="BL223" s="66"/>
    </row>
    <row r="224" spans="1:129">
      <c r="A224" s="160"/>
      <c r="B224" s="264" t="s">
        <v>1</v>
      </c>
    </row>
    <row r="225" spans="1:134">
      <c r="A225" s="160"/>
      <c r="B225" s="264" t="s">
        <v>402</v>
      </c>
      <c r="W225" s="66"/>
      <c r="AP225" s="66"/>
      <c r="AU225" s="66"/>
      <c r="AZ225" s="66"/>
      <c r="BL225" s="66"/>
      <c r="ED225" s="66"/>
    </row>
    <row r="226" spans="1:134">
      <c r="A226" s="160"/>
      <c r="B226" s="264" t="s">
        <v>8</v>
      </c>
      <c r="H226" s="66"/>
      <c r="J226" s="66"/>
      <c r="P226" s="66"/>
      <c r="W226" s="66"/>
      <c r="AE226" s="66"/>
      <c r="AG226" s="66"/>
      <c r="AK226" s="66"/>
      <c r="AP226" s="66"/>
      <c r="AU226" s="66"/>
      <c r="AZ226" s="66"/>
      <c r="BB226" s="66"/>
      <c r="BE226" s="66"/>
      <c r="BH226" s="66"/>
      <c r="BL226" s="66"/>
    </row>
    <row r="227" spans="1:134">
      <c r="A227" s="160"/>
      <c r="B227" s="264" t="s">
        <v>1</v>
      </c>
    </row>
    <row r="228" spans="1:134">
      <c r="A228" s="160"/>
      <c r="B228" s="264" t="s">
        <v>497</v>
      </c>
      <c r="W228" s="66"/>
      <c r="AP228" s="66"/>
      <c r="AU228" s="66"/>
      <c r="AZ228" s="66"/>
      <c r="BL228" s="66"/>
    </row>
    <row r="229" spans="1:134">
      <c r="A229" s="160"/>
      <c r="B229" s="264" t="s">
        <v>498</v>
      </c>
      <c r="F229" s="66"/>
      <c r="W229" s="66"/>
      <c r="AP229" s="66"/>
      <c r="AU229" s="66"/>
      <c r="AZ229" s="66"/>
      <c r="BL229" s="66"/>
    </row>
    <row r="230" spans="1:134">
      <c r="A230" s="160"/>
      <c r="B230" s="264" t="s">
        <v>481</v>
      </c>
    </row>
    <row r="231" spans="1:134">
      <c r="A231" s="160"/>
      <c r="B231" s="264" t="s">
        <v>1209</v>
      </c>
      <c r="AU231" s="66"/>
      <c r="AZ231" s="66"/>
    </row>
    <row r="232" spans="1:134">
      <c r="A232" s="160"/>
      <c r="B232" s="264" t="s">
        <v>1145</v>
      </c>
      <c r="L232" s="66"/>
      <c r="P232" s="66"/>
      <c r="AO232" s="66"/>
      <c r="AP232" s="66"/>
      <c r="AU232" s="66"/>
      <c r="AZ232" s="66"/>
      <c r="BL232" s="66"/>
    </row>
    <row r="233" spans="1:134">
      <c r="A233" s="160"/>
      <c r="B233" s="264" t="s">
        <v>1</v>
      </c>
    </row>
    <row r="234" spans="1:134">
      <c r="A234" s="160"/>
      <c r="B234" s="264" t="s">
        <v>402</v>
      </c>
      <c r="W234" s="66"/>
      <c r="AU234" s="66"/>
      <c r="AZ234" s="66"/>
      <c r="BL234" s="66"/>
      <c r="DI234" s="66"/>
    </row>
    <row r="235" spans="1:134">
      <c r="A235" s="160"/>
      <c r="B235" s="264" t="s">
        <v>419</v>
      </c>
      <c r="D235" s="66"/>
      <c r="P235" s="66"/>
      <c r="AA235" s="66"/>
      <c r="AZ235" s="66"/>
      <c r="DI235" s="66"/>
    </row>
    <row r="236" spans="1:134">
      <c r="A236" s="160"/>
      <c r="B236" s="264" t="s">
        <v>1</v>
      </c>
    </row>
    <row r="237" spans="1:134">
      <c r="A237" s="160"/>
      <c r="B237" s="264" t="s">
        <v>412</v>
      </c>
      <c r="W237" s="66"/>
      <c r="AP237" s="66"/>
      <c r="AU237" s="66"/>
      <c r="AZ237" s="66"/>
      <c r="BL237" s="66"/>
      <c r="DI237" s="66"/>
      <c r="ED237" s="66"/>
    </row>
    <row r="238" spans="1:134">
      <c r="A238" s="160"/>
      <c r="B238" s="264" t="s">
        <v>9</v>
      </c>
      <c r="L238" s="66"/>
      <c r="AG238" s="66"/>
      <c r="AP238" s="66"/>
      <c r="AU238" s="66"/>
      <c r="AZ238" s="66"/>
      <c r="BL238" s="66"/>
    </row>
    <row r="239" spans="1:134">
      <c r="A239" s="160"/>
      <c r="B239" s="264" t="s">
        <v>1</v>
      </c>
    </row>
    <row r="240" spans="1:134">
      <c r="A240" s="160"/>
      <c r="B240" s="264" t="s">
        <v>402</v>
      </c>
      <c r="W240" s="66"/>
      <c r="AP240" s="66"/>
      <c r="AU240" s="66"/>
      <c r="AZ240" s="66"/>
      <c r="BL240" s="66"/>
    </row>
    <row r="241" spans="1:129">
      <c r="A241" s="160"/>
      <c r="B241" s="264" t="s">
        <v>420</v>
      </c>
      <c r="AP241" s="66"/>
      <c r="AU241" s="66"/>
      <c r="AZ241" s="66"/>
      <c r="BL241" s="66"/>
      <c r="DI241" s="66"/>
      <c r="DS241" s="66"/>
    </row>
    <row r="242" spans="1:129">
      <c r="A242" s="160"/>
      <c r="B242" s="264" t="s">
        <v>1</v>
      </c>
    </row>
    <row r="243" spans="1:129">
      <c r="A243" s="160"/>
      <c r="B243" s="264" t="s">
        <v>500</v>
      </c>
      <c r="W243" s="66"/>
      <c r="AP243" s="66"/>
      <c r="AU243" s="66"/>
      <c r="AZ243" s="66"/>
      <c r="BL243" s="66"/>
      <c r="DI243" s="66"/>
    </row>
    <row r="244" spans="1:129">
      <c r="A244" s="160"/>
      <c r="B244" s="264" t="s">
        <v>490</v>
      </c>
      <c r="F244" s="66"/>
      <c r="J244" s="66"/>
      <c r="P244" s="66"/>
      <c r="AA244" s="66"/>
      <c r="AE244" s="66"/>
      <c r="AG244" s="66"/>
      <c r="AK244" s="66"/>
      <c r="AP244" s="66"/>
      <c r="AR244" s="66"/>
      <c r="AU244" s="66"/>
      <c r="AW244" s="66"/>
      <c r="AZ244" s="66"/>
      <c r="BB244" s="66"/>
      <c r="BH244" s="66"/>
      <c r="BL244" s="66"/>
    </row>
    <row r="245" spans="1:129">
      <c r="A245" s="160"/>
      <c r="B245" s="264" t="s">
        <v>481</v>
      </c>
    </row>
    <row r="246" spans="1:129">
      <c r="A246" s="160"/>
      <c r="B246" s="264" t="s">
        <v>1212</v>
      </c>
      <c r="AP246" s="66"/>
      <c r="AU246" s="66"/>
      <c r="AZ246" s="66"/>
      <c r="BL246" s="66"/>
    </row>
    <row r="247" spans="1:129">
      <c r="A247" s="160"/>
      <c r="B247" s="264" t="s">
        <v>498</v>
      </c>
      <c r="P247" s="66"/>
      <c r="AG247" s="66"/>
      <c r="AP247" s="66"/>
      <c r="AU247" s="66"/>
      <c r="AZ247" s="66"/>
      <c r="BL247" s="66"/>
    </row>
    <row r="248" spans="1:129">
      <c r="A248" s="160"/>
      <c r="B248" s="264" t="s">
        <v>481</v>
      </c>
    </row>
    <row r="249" spans="1:129">
      <c r="A249" s="160"/>
      <c r="B249" s="264" t="s">
        <v>1213</v>
      </c>
      <c r="AP249" s="66"/>
      <c r="AU249" s="66"/>
      <c r="BL249" s="66"/>
    </row>
    <row r="250" spans="1:129">
      <c r="A250" s="160"/>
      <c r="B250" s="264" t="s">
        <v>465</v>
      </c>
      <c r="D250" s="66"/>
      <c r="AP250" s="66"/>
      <c r="AU250" s="66"/>
      <c r="BL250" s="66"/>
    </row>
    <row r="251" spans="1:129">
      <c r="A251" s="160"/>
      <c r="B251" s="264" t="s">
        <v>1</v>
      </c>
    </row>
    <row r="252" spans="1:129">
      <c r="A252" s="160"/>
      <c r="B252" s="264" t="s">
        <v>403</v>
      </c>
      <c r="W252" s="66"/>
      <c r="AP252" s="66"/>
      <c r="AU252" s="66"/>
      <c r="AZ252" s="66"/>
      <c r="BL252" s="66"/>
    </row>
    <row r="253" spans="1:129">
      <c r="A253" s="160"/>
      <c r="B253" s="264" t="s">
        <v>421</v>
      </c>
      <c r="W253" s="66"/>
      <c r="AP253" s="66"/>
      <c r="AR253" s="66"/>
      <c r="AU253" s="66"/>
      <c r="AZ253" s="66"/>
      <c r="BL253" s="66"/>
      <c r="DY253" s="66"/>
    </row>
    <row r="254" spans="1:129">
      <c r="A254" s="160"/>
      <c r="B254" s="264" t="s">
        <v>1</v>
      </c>
    </row>
    <row r="255" spans="1:129">
      <c r="A255" s="160"/>
      <c r="B255" s="264" t="s">
        <v>423</v>
      </c>
      <c r="AU255" s="66"/>
      <c r="AZ255" s="66"/>
      <c r="BL255" s="66"/>
      <c r="CT255" s="66"/>
      <c r="DI255" s="66"/>
    </row>
    <row r="256" spans="1:129">
      <c r="A256" s="160"/>
      <c r="B256" s="264" t="s">
        <v>424</v>
      </c>
      <c r="W256" s="66"/>
      <c r="AZ256" s="66"/>
      <c r="BL256" s="66"/>
      <c r="DM256" s="66"/>
    </row>
    <row r="257" spans="1:64">
      <c r="A257" s="160"/>
      <c r="B257" s="160" t="s">
        <v>1</v>
      </c>
    </row>
    <row r="258" spans="1:64">
      <c r="A258" s="160"/>
      <c r="B258" s="160"/>
    </row>
    <row r="259" spans="1:64">
      <c r="A259" s="160"/>
      <c r="B259" s="160"/>
    </row>
    <row r="260" spans="1:64">
      <c r="A260" s="160"/>
      <c r="B260" s="160"/>
    </row>
    <row r="261" spans="1:64">
      <c r="A261" s="160"/>
      <c r="B261" s="160"/>
    </row>
    <row r="262" spans="1:64">
      <c r="A262" s="160"/>
      <c r="B262" s="160"/>
    </row>
    <row r="263" spans="1:64">
      <c r="A263" s="160"/>
      <c r="B263" s="160"/>
    </row>
    <row r="264" spans="1:64">
      <c r="A264" s="160"/>
      <c r="B264" s="160"/>
    </row>
    <row r="265" spans="1:64">
      <c r="A265" s="160"/>
      <c r="B265" s="160"/>
    </row>
    <row r="266" spans="1:64">
      <c r="A266" s="160"/>
      <c r="B266" s="160"/>
    </row>
    <row r="267" spans="1:64">
      <c r="A267" s="160"/>
      <c r="B267" s="160"/>
    </row>
    <row r="268" spans="1:64">
      <c r="A268" s="160"/>
      <c r="B268" s="160"/>
    </row>
    <row r="269" spans="1:64">
      <c r="A269" s="160"/>
      <c r="B269" s="160"/>
    </row>
    <row r="270" spans="1:64">
      <c r="AP270" s="66"/>
      <c r="AU270" s="66"/>
      <c r="BL270" s="66"/>
    </row>
    <row r="271" spans="1:64">
      <c r="L271" s="66"/>
      <c r="T271" s="66"/>
      <c r="AU271" s="66"/>
      <c r="BB271" s="66"/>
      <c r="BH271" s="66"/>
      <c r="BK271" s="66"/>
      <c r="BL271" s="66"/>
    </row>
    <row r="273" spans="4:127">
      <c r="AU273" s="66"/>
      <c r="AZ273" s="66"/>
      <c r="BL273" s="66"/>
      <c r="CT273" s="66"/>
    </row>
    <row r="274" spans="4:127">
      <c r="D274" s="66"/>
      <c r="AE274" s="66"/>
      <c r="AO274" s="66"/>
      <c r="AR274" s="66"/>
      <c r="AT274" s="66"/>
      <c r="AU274" s="66"/>
      <c r="AZ274" s="66"/>
      <c r="BL274" s="66"/>
      <c r="CT274" s="66"/>
    </row>
    <row r="276" spans="4:127">
      <c r="AU276" s="66"/>
      <c r="AZ276" s="66"/>
      <c r="BL276" s="66"/>
      <c r="CT276" s="66"/>
    </row>
    <row r="277" spans="4:127">
      <c r="D277" s="66"/>
      <c r="R277" s="66"/>
      <c r="T277" s="66"/>
      <c r="AA277" s="66"/>
      <c r="AK277" s="66"/>
      <c r="AM277" s="66"/>
      <c r="AO277" s="66"/>
      <c r="AT277" s="66"/>
      <c r="AU277" s="66"/>
      <c r="AW277" s="66"/>
      <c r="AY277" s="66"/>
      <c r="AZ277" s="66"/>
      <c r="BB277" s="66"/>
      <c r="BE277" s="66"/>
      <c r="BK277" s="66"/>
      <c r="BL277" s="66"/>
      <c r="CO277" s="66"/>
      <c r="CT277" s="66"/>
      <c r="DW277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EA12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163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1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1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3"/>
      <c r="AC4" s="363"/>
      <c r="AD4" s="7" t="s">
        <v>0</v>
      </c>
      <c r="AE4" s="7" t="s">
        <v>236</v>
      </c>
      <c r="AF4" s="7" t="s">
        <v>0</v>
      </c>
      <c r="AG4" s="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1" s="6" customFormat="1">
      <c r="A5" s="367"/>
      <c r="B5" s="368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4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66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66"/>
      <c r="AL7" s="264"/>
      <c r="AM7" s="264"/>
      <c r="AN7" s="264"/>
      <c r="AO7" s="264"/>
      <c r="AP7" s="66"/>
      <c r="AQ7" s="264"/>
      <c r="AR7" s="264"/>
      <c r="AS7" s="264"/>
      <c r="AT7" s="264"/>
      <c r="AU7" s="264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66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66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66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66"/>
      <c r="AB16" s="264"/>
      <c r="AC16" s="264"/>
      <c r="AD16" s="264"/>
      <c r="AE16" s="264"/>
      <c r="AF16" s="264"/>
      <c r="AG16" s="264"/>
      <c r="AH16" s="264"/>
      <c r="AI16" s="264"/>
      <c r="AJ16" s="264"/>
      <c r="AK16" s="66"/>
      <c r="AL16" s="264"/>
      <c r="AM16" s="264"/>
      <c r="AN16" s="264"/>
      <c r="AO16" s="264"/>
      <c r="AP16" s="66"/>
      <c r="AQ16" s="264"/>
      <c r="AR16" s="264"/>
      <c r="AS16" s="264"/>
      <c r="AT16" s="264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/>
      <c r="D19" s="264"/>
      <c r="E19" s="264"/>
      <c r="F19" s="66"/>
      <c r="G19" s="264"/>
      <c r="H19" s="264"/>
      <c r="I19" s="264"/>
      <c r="J19" s="264"/>
      <c r="K19" s="264"/>
      <c r="L19" s="6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66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66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66"/>
      <c r="AL22" s="264"/>
      <c r="AM22" s="264"/>
      <c r="AN22" s="264"/>
      <c r="AO22" s="264"/>
      <c r="AP22" s="66"/>
      <c r="AQ22" s="264"/>
      <c r="AR22" s="264"/>
      <c r="AS22" s="264"/>
      <c r="AT22" s="264"/>
      <c r="AU22" s="66"/>
      <c r="AV22" s="264"/>
      <c r="AW22" s="264"/>
      <c r="AX22" s="264"/>
      <c r="AY22" s="264"/>
      <c r="AZ22" s="66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66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66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/>
      <c r="D28" s="66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66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264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66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264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66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66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264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66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66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4" t="s">
        <v>1152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66"/>
      <c r="S37" s="264"/>
      <c r="T37" s="264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66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66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66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66"/>
      <c r="AQ43" s="264"/>
      <c r="AR43" s="264"/>
      <c r="AS43" s="264"/>
      <c r="AT43" s="264"/>
      <c r="AU43" s="66"/>
      <c r="AV43" s="264"/>
      <c r="AW43" s="264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66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264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66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66"/>
      <c r="AS49" s="264"/>
      <c r="AT49" s="264"/>
      <c r="AU49" s="66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66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4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66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66"/>
      <c r="U58" s="264"/>
      <c r="V58" s="264"/>
      <c r="W58" s="66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66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66"/>
      <c r="AV58" s="264"/>
      <c r="AW58" s="264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66"/>
      <c r="BL58" s="264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66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264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66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66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/>
      <c r="D64" s="264"/>
      <c r="E64" s="264"/>
      <c r="F64" s="264"/>
      <c r="G64" s="264"/>
      <c r="H64" s="66"/>
      <c r="I64" s="264"/>
      <c r="J64" s="264"/>
      <c r="K64" s="264"/>
      <c r="L64" s="66"/>
      <c r="M64" s="264"/>
      <c r="N64" s="264"/>
      <c r="O64" s="264"/>
      <c r="P64" s="66"/>
      <c r="Q64" s="264"/>
      <c r="R64" s="264"/>
      <c r="S64" s="264"/>
      <c r="T64" s="264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66"/>
      <c r="AF64" s="264"/>
      <c r="AG64" s="264"/>
      <c r="AH64" s="264"/>
      <c r="AI64" s="66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66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66"/>
      <c r="AV67" s="264"/>
      <c r="AW67" s="66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264"/>
      <c r="CY67" s="264"/>
      <c r="CZ67" s="264"/>
      <c r="DA67" s="264"/>
      <c r="DB67" s="66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66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/>
      <c r="D70" s="66"/>
      <c r="E70" s="264"/>
      <c r="F70" s="264"/>
      <c r="G70" s="264"/>
      <c r="H70" s="66"/>
      <c r="I70" s="264"/>
      <c r="J70" s="264"/>
      <c r="K70" s="264"/>
      <c r="L70" s="264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66"/>
      <c r="AF70" s="264"/>
      <c r="AG70" s="66"/>
      <c r="AH70" s="264"/>
      <c r="AI70" s="66"/>
      <c r="AJ70" s="264"/>
      <c r="AK70" s="66"/>
      <c r="AL70" s="264"/>
      <c r="AM70" s="264"/>
      <c r="AN70" s="264"/>
      <c r="AO70" s="66"/>
      <c r="AP70" s="264"/>
      <c r="AQ70" s="264"/>
      <c r="AR70" s="264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66"/>
      <c r="BG70" s="264"/>
      <c r="BH70" s="264"/>
      <c r="BI70" s="264"/>
      <c r="BJ70" s="264"/>
      <c r="BK70" s="264"/>
      <c r="BL70" s="264"/>
      <c r="BM70" s="264"/>
      <c r="BN70" s="264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66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66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264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66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66"/>
      <c r="BF76" s="66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66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/>
      <c r="D79" s="264"/>
      <c r="E79" s="264"/>
      <c r="F79" s="264"/>
      <c r="G79" s="264"/>
      <c r="H79" s="264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264"/>
      <c r="AV79" s="264"/>
      <c r="AW79" s="264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66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/>
      <c r="D82" s="264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66"/>
      <c r="X82" s="264"/>
      <c r="Y82" s="66"/>
      <c r="Z82" s="264"/>
      <c r="AA82" s="66"/>
      <c r="AB82" s="264"/>
      <c r="AC82" s="264"/>
      <c r="AD82" s="264"/>
      <c r="AE82" s="66"/>
      <c r="AF82" s="264"/>
      <c r="AG82" s="264"/>
      <c r="AH82" s="264"/>
      <c r="AI82" s="264"/>
      <c r="AJ82" s="264"/>
      <c r="AK82" s="66"/>
      <c r="AL82" s="264"/>
      <c r="AM82" s="264"/>
      <c r="AN82" s="264"/>
      <c r="AO82" s="264"/>
      <c r="AP82" s="264"/>
      <c r="AQ82" s="264"/>
      <c r="AR82" s="264"/>
      <c r="AS82" s="264"/>
      <c r="AT82" s="66"/>
      <c r="AU82" s="66"/>
      <c r="AV82" s="264"/>
      <c r="AW82" s="66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264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66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264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4" t="s">
        <v>1171</v>
      </c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66"/>
      <c r="AF85" s="264"/>
      <c r="AG85" s="264"/>
      <c r="AH85" s="264"/>
      <c r="AI85" s="264"/>
      <c r="AJ85" s="264"/>
      <c r="AK85" s="66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66"/>
      <c r="AZ85" s="66"/>
      <c r="BA85" s="264"/>
      <c r="BB85" s="264"/>
      <c r="BC85" s="264"/>
      <c r="BD85" s="264"/>
      <c r="BE85" s="264"/>
      <c r="BF85" s="66"/>
      <c r="BG85" s="264"/>
      <c r="BH85" s="264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66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66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/>
      <c r="D88" s="66"/>
      <c r="E88" s="264"/>
      <c r="F88" s="264"/>
      <c r="G88" s="264"/>
      <c r="H88" s="66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66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66"/>
      <c r="BL88" s="264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264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66"/>
      <c r="Q91" s="264"/>
      <c r="R91" s="264"/>
      <c r="S91" s="264"/>
      <c r="T91" s="66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66"/>
      <c r="AS91" s="264"/>
      <c r="AT91" s="264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264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66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/>
      <c r="D94" s="264"/>
      <c r="E94" s="264"/>
      <c r="F94" s="66"/>
      <c r="G94" s="264"/>
      <c r="H94" s="264"/>
      <c r="I94" s="264"/>
      <c r="J94" s="264"/>
      <c r="K94" s="264"/>
      <c r="L94" s="66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66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66"/>
      <c r="BF94" s="66"/>
      <c r="BG94" s="264"/>
      <c r="BH94" s="264"/>
      <c r="BI94" s="264"/>
      <c r="BJ94" s="264"/>
      <c r="BK94" s="264"/>
      <c r="BL94" s="264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66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66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264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264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66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264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66"/>
      <c r="CP100" s="66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66"/>
      <c r="DT100" s="264"/>
      <c r="DU100" s="66"/>
      <c r="DV100" s="264"/>
      <c r="DW100" s="66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4" t="s">
        <v>1189</v>
      </c>
      <c r="C103" s="264"/>
      <c r="D103" s="264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66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66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66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4" t="s">
        <v>1190</v>
      </c>
      <c r="C106" s="264"/>
      <c r="D106" s="66"/>
      <c r="E106" s="264"/>
      <c r="F106" s="66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66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66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66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4" t="s">
        <v>1192</v>
      </c>
      <c r="C109" s="264"/>
      <c r="D109" s="66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66"/>
      <c r="BC109" s="264"/>
      <c r="BD109" s="264"/>
      <c r="BE109" s="66"/>
      <c r="BF109" s="264"/>
      <c r="BG109" s="264"/>
      <c r="BH109" s="66"/>
      <c r="BI109" s="264"/>
      <c r="BJ109" s="264"/>
      <c r="BK109" s="66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264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264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/>
      <c r="D112" s="66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66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66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264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264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66"/>
      <c r="X115" s="264"/>
      <c r="Y115" s="264"/>
      <c r="Z115" s="264"/>
      <c r="AA115" s="264"/>
      <c r="AB115" s="264"/>
      <c r="AC115" s="264"/>
      <c r="AD115" s="264"/>
      <c r="AE115" s="66"/>
      <c r="AF115" s="264"/>
      <c r="AG115" s="66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66"/>
      <c r="AZ115" s="66"/>
      <c r="BA115" s="264"/>
      <c r="BB115" s="264"/>
      <c r="BC115" s="264"/>
      <c r="BD115" s="264"/>
      <c r="BE115" s="264"/>
      <c r="BF115" s="264"/>
      <c r="BG115" s="264"/>
      <c r="BH115" s="66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4" t="s">
        <v>465</v>
      </c>
      <c r="C118" s="264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66"/>
      <c r="Q118" s="264"/>
      <c r="R118" s="264"/>
      <c r="S118" s="264"/>
      <c r="T118" s="264"/>
      <c r="U118" s="264"/>
      <c r="V118" s="264"/>
      <c r="W118" s="66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66"/>
      <c r="AS118" s="264"/>
      <c r="AT118" s="264"/>
      <c r="AU118" s="66"/>
      <c r="AV118" s="264"/>
      <c r="AW118" s="264"/>
      <c r="AX118" s="264"/>
      <c r="AY118" s="66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66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/>
      <c r="D121" s="264"/>
      <c r="E121" s="264"/>
      <c r="F121" s="264"/>
      <c r="G121" s="264"/>
      <c r="H121" s="264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66"/>
      <c r="AP121" s="66"/>
      <c r="AQ121" s="264"/>
      <c r="AR121" s="264"/>
      <c r="AS121" s="264"/>
      <c r="AT121" s="66"/>
      <c r="AU121" s="66"/>
      <c r="AV121" s="264"/>
      <c r="AW121" s="264"/>
      <c r="AX121" s="264"/>
      <c r="AY121" s="264"/>
      <c r="AZ121" s="66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66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66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264"/>
      <c r="AV124" s="264"/>
      <c r="AW124" s="264"/>
      <c r="AX124" s="264"/>
      <c r="AY124" s="264"/>
      <c r="AZ124" s="264"/>
      <c r="BA124" s="264"/>
      <c r="BB124" s="66"/>
      <c r="BC124" s="264"/>
      <c r="BD124" s="264"/>
      <c r="BE124" s="66"/>
      <c r="BF124" s="264"/>
      <c r="BG124" s="264"/>
      <c r="BH124" s="66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/>
      <c r="D127" s="66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66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264"/>
      <c r="BA127" s="264"/>
      <c r="BB127" s="66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66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66"/>
      <c r="BF130" s="264"/>
      <c r="BG130" s="264"/>
      <c r="BH130" s="66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66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4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264"/>
      <c r="Q133" s="264"/>
      <c r="R133" s="264"/>
      <c r="S133" s="264"/>
      <c r="T133" s="264"/>
      <c r="U133" s="264"/>
      <c r="V133" s="264"/>
      <c r="W133" s="264"/>
      <c r="X133" s="264"/>
      <c r="Y133" s="66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264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66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66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264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4" t="s">
        <v>474</v>
      </c>
      <c r="C136" s="264"/>
      <c r="D136" s="264"/>
      <c r="E136" s="264"/>
      <c r="F136" s="264"/>
      <c r="G136" s="264"/>
      <c r="H136" s="264"/>
      <c r="I136" s="264"/>
      <c r="J136" s="66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66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66"/>
      <c r="BC136" s="264"/>
      <c r="BD136" s="264"/>
      <c r="BE136" s="264"/>
      <c r="BF136" s="264"/>
      <c r="BG136" s="264"/>
      <c r="BH136" s="264"/>
      <c r="BI136" s="264"/>
      <c r="BJ136" s="264"/>
      <c r="BK136" s="264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/>
      <c r="D139" s="66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66"/>
      <c r="X139" s="264"/>
      <c r="Y139" s="264"/>
      <c r="Z139" s="264"/>
      <c r="AA139" s="264"/>
      <c r="AB139" s="264"/>
      <c r="AC139" s="264"/>
      <c r="AD139" s="264"/>
      <c r="AE139" s="66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66"/>
      <c r="AQ139" s="264"/>
      <c r="AR139" s="264"/>
      <c r="AS139" s="264"/>
      <c r="AT139" s="66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66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66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4" t="s">
        <v>477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264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264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66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264"/>
      <c r="AQ148" s="264"/>
      <c r="AR148" s="264"/>
      <c r="AS148" s="264"/>
      <c r="AT148" s="264"/>
      <c r="AU148" s="66"/>
      <c r="AV148" s="264"/>
      <c r="AW148" s="66"/>
      <c r="AX148" s="264"/>
      <c r="AY148" s="66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66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264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264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4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264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66"/>
      <c r="CP151" s="264"/>
      <c r="CQ151" s="264"/>
      <c r="CR151" s="264"/>
      <c r="CS151" s="264"/>
      <c r="CT151" s="264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264"/>
      <c r="DT151" s="264"/>
      <c r="DU151" s="66"/>
      <c r="DV151" s="264"/>
      <c r="DW151" s="66"/>
      <c r="DX151" s="264"/>
      <c r="DY151" s="264"/>
      <c r="DZ151" s="264"/>
      <c r="EA151" s="264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264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264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66"/>
      <c r="E154" s="264"/>
      <c r="F154" s="66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66"/>
      <c r="S154" s="264"/>
      <c r="T154" s="264"/>
      <c r="U154" s="264"/>
      <c r="V154" s="264"/>
      <c r="W154" s="66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66"/>
      <c r="AL154" s="264"/>
      <c r="AM154" s="264"/>
      <c r="AN154" s="264"/>
      <c r="AO154" s="264"/>
      <c r="AP154" s="66"/>
      <c r="AQ154" s="264"/>
      <c r="AR154" s="264"/>
      <c r="AS154" s="264"/>
      <c r="AT154" s="66"/>
      <c r="AU154" s="66"/>
      <c r="AV154" s="264"/>
      <c r="AW154" s="66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66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264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264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264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66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66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66"/>
      <c r="AX160" s="264"/>
      <c r="AY160" s="264"/>
      <c r="AZ160" s="66"/>
      <c r="BA160" s="264"/>
      <c r="BB160" s="66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264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264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264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/>
      <c r="D163" s="66"/>
      <c r="E163" s="264"/>
      <c r="F163" s="264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66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264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264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/>
      <c r="D166" s="264"/>
      <c r="E166" s="264"/>
      <c r="F166" s="264"/>
      <c r="G166" s="264"/>
      <c r="H166" s="66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66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66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64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66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66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66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66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264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66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66"/>
      <c r="AV175" s="264"/>
      <c r="AW175" s="264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66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66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264"/>
      <c r="AU178" s="66"/>
      <c r="AV178" s="264"/>
      <c r="AW178" s="66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264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4" t="s">
        <v>413</v>
      </c>
      <c r="C181" s="264"/>
      <c r="D181" s="264"/>
      <c r="E181" s="264"/>
      <c r="F181" s="264"/>
      <c r="G181" s="264"/>
      <c r="H181" s="264"/>
      <c r="I181" s="264"/>
      <c r="J181" s="264"/>
      <c r="K181" s="264"/>
      <c r="L181" s="264"/>
      <c r="M181" s="264"/>
      <c r="N181" s="264"/>
      <c r="O181" s="264"/>
      <c r="P181" s="264"/>
      <c r="Q181" s="264"/>
      <c r="R181" s="66"/>
      <c r="S181" s="264"/>
      <c r="T181" s="66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264"/>
      <c r="AS181" s="264"/>
      <c r="AT181" s="264"/>
      <c r="AU181" s="66"/>
      <c r="AV181" s="264"/>
      <c r="AW181" s="66"/>
      <c r="AX181" s="264"/>
      <c r="AY181" s="66"/>
      <c r="AZ181" s="264"/>
      <c r="BA181" s="264"/>
      <c r="BB181" s="66"/>
      <c r="BC181" s="264"/>
      <c r="BD181" s="264"/>
      <c r="BE181" s="66"/>
      <c r="BF181" s="264"/>
      <c r="BG181" s="264"/>
      <c r="BH181" s="264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66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66"/>
      <c r="I184" s="264"/>
      <c r="J184" s="66"/>
      <c r="K184" s="264"/>
      <c r="L184" s="264"/>
      <c r="M184" s="264"/>
      <c r="N184" s="264"/>
      <c r="O184" s="264"/>
      <c r="P184" s="66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264"/>
      <c r="AB184" s="264"/>
      <c r="AC184" s="264"/>
      <c r="AD184" s="264"/>
      <c r="AE184" s="66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66"/>
      <c r="BA184" s="264"/>
      <c r="BB184" s="264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/>
      <c r="D187" s="264"/>
      <c r="E187" s="264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264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264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264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66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66"/>
      <c r="AQ190" s="264"/>
      <c r="AR190" s="264"/>
      <c r="AS190" s="264"/>
      <c r="AT190" s="264"/>
      <c r="AU190" s="66"/>
      <c r="AV190" s="264"/>
      <c r="AW190" s="264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66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66"/>
      <c r="K193" s="264"/>
      <c r="L193" s="66"/>
      <c r="M193" s="264"/>
      <c r="N193" s="264"/>
      <c r="O193" s="264"/>
      <c r="P193" s="264"/>
      <c r="Q193" s="264"/>
      <c r="R193" s="264"/>
      <c r="S193" s="264"/>
      <c r="T193" s="66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66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264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4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66"/>
      <c r="AS196" s="264"/>
      <c r="AT196" s="264"/>
      <c r="AU196" s="66"/>
      <c r="AV196" s="264"/>
      <c r="AW196" s="66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66"/>
      <c r="DX196" s="264"/>
      <c r="DY196" s="66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66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4" t="s">
        <v>416</v>
      </c>
      <c r="C199" s="264"/>
      <c r="D199" s="66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66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66"/>
      <c r="AL199" s="264"/>
      <c r="AM199" s="264"/>
      <c r="AN199" s="264"/>
      <c r="AO199" s="264"/>
      <c r="AP199" s="66"/>
      <c r="AQ199" s="264"/>
      <c r="AR199" s="264"/>
      <c r="AS199" s="264"/>
      <c r="AT199" s="66"/>
      <c r="AU199" s="66"/>
      <c r="AV199" s="264"/>
      <c r="AW199" s="264"/>
      <c r="AX199" s="264"/>
      <c r="AY199" s="264"/>
      <c r="AZ199" s="66"/>
      <c r="BA199" s="264"/>
      <c r="BB199" s="264"/>
      <c r="BC199" s="264"/>
      <c r="BD199" s="264"/>
      <c r="BE199" s="66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66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4" t="s">
        <v>490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66"/>
      <c r="Z205" s="264"/>
      <c r="AA205" s="264"/>
      <c r="AB205" s="264"/>
      <c r="AC205" s="264"/>
      <c r="AD205" s="264"/>
      <c r="AE205" s="264"/>
      <c r="AF205" s="264"/>
      <c r="AG205" s="66"/>
      <c r="AH205" s="264"/>
      <c r="AI205" s="264"/>
      <c r="AJ205" s="264"/>
      <c r="AK205" s="264"/>
      <c r="AL205" s="264"/>
      <c r="AM205" s="264"/>
      <c r="AN205" s="264"/>
      <c r="AO205" s="66"/>
      <c r="AP205" s="264"/>
      <c r="AQ205" s="264"/>
      <c r="AR205" s="264"/>
      <c r="AS205" s="264"/>
      <c r="AT205" s="264"/>
      <c r="AU205" s="264"/>
      <c r="AV205" s="264"/>
      <c r="AW205" s="66"/>
      <c r="AX205" s="264"/>
      <c r="AY205" s="264"/>
      <c r="AZ205" s="66"/>
      <c r="BA205" s="264"/>
      <c r="BB205" s="66"/>
      <c r="BC205" s="264"/>
      <c r="BD205" s="264"/>
      <c r="BE205" s="264"/>
      <c r="BF205" s="66"/>
      <c r="BG205" s="264"/>
      <c r="BH205" s="264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66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66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4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66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/>
      <c r="D211" s="66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66"/>
      <c r="Q211" s="264"/>
      <c r="R211" s="264"/>
      <c r="S211" s="264"/>
      <c r="T211" s="66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/>
      <c r="D214" s="66"/>
      <c r="E214" s="264"/>
      <c r="F214" s="66"/>
      <c r="G214" s="264"/>
      <c r="H214" s="66"/>
      <c r="I214" s="264"/>
      <c r="J214" s="264"/>
      <c r="K214" s="264"/>
      <c r="L214" s="264"/>
      <c r="M214" s="264"/>
      <c r="N214" s="264"/>
      <c r="O214" s="264"/>
      <c r="P214" s="66"/>
      <c r="Q214" s="264"/>
      <c r="R214" s="264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264"/>
      <c r="AF214" s="264"/>
      <c r="AG214" s="66"/>
      <c r="AH214" s="264"/>
      <c r="AI214" s="264"/>
      <c r="AJ214" s="264"/>
      <c r="AK214" s="264"/>
      <c r="AL214" s="264"/>
      <c r="AM214" s="264"/>
      <c r="AN214" s="264"/>
      <c r="AO214" s="66"/>
      <c r="AP214" s="66"/>
      <c r="AQ214" s="264"/>
      <c r="AR214" s="264"/>
      <c r="AS214" s="264"/>
      <c r="AT214" s="264"/>
      <c r="AU214" s="66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66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264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264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66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66"/>
      <c r="Q220" s="264"/>
      <c r="R220" s="66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264"/>
      <c r="AL220" s="264"/>
      <c r="AM220" s="264"/>
      <c r="AN220" s="264"/>
      <c r="AO220" s="264"/>
      <c r="AP220" s="66"/>
      <c r="AQ220" s="264"/>
      <c r="AR220" s="264"/>
      <c r="AS220" s="264"/>
      <c r="AT220" s="66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66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/>
      <c r="D223" s="264"/>
      <c r="E223" s="264"/>
      <c r="F223" s="264"/>
      <c r="G223" s="264"/>
      <c r="H223" s="264"/>
      <c r="I223" s="264"/>
      <c r="J223" s="66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66"/>
      <c r="Z223" s="264"/>
      <c r="AA223" s="66"/>
      <c r="AB223" s="264"/>
      <c r="AC223" s="264"/>
      <c r="AD223" s="264"/>
      <c r="AE223" s="264"/>
      <c r="AF223" s="264"/>
      <c r="AG223" s="66"/>
      <c r="AH223" s="264"/>
      <c r="AI223" s="264"/>
      <c r="AJ223" s="264"/>
      <c r="AK223" s="66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264"/>
      <c r="AX223" s="264"/>
      <c r="AY223" s="264"/>
      <c r="AZ223" s="66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/>
      <c r="D226" s="66"/>
      <c r="E226" s="264"/>
      <c r="F226" s="264"/>
      <c r="G226" s="264"/>
      <c r="H226" s="66"/>
      <c r="I226" s="264"/>
      <c r="J226" s="264"/>
      <c r="K226" s="264"/>
      <c r="L226" s="264"/>
      <c r="M226" s="264"/>
      <c r="N226" s="264"/>
      <c r="O226" s="264"/>
      <c r="P226" s="66"/>
      <c r="Q226" s="264"/>
      <c r="R226" s="264"/>
      <c r="S226" s="264"/>
      <c r="T226" s="264"/>
      <c r="U226" s="264"/>
      <c r="V226" s="264"/>
      <c r="W226" s="264"/>
      <c r="X226" s="264"/>
      <c r="Y226" s="264"/>
      <c r="Z226" s="264"/>
      <c r="AA226" s="66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66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264"/>
      <c r="BA226" s="264"/>
      <c r="BB226" s="264"/>
      <c r="BC226" s="264"/>
      <c r="BD226" s="264"/>
      <c r="BE226" s="264"/>
      <c r="BF226" s="264"/>
      <c r="BG226" s="264"/>
      <c r="BH226" s="66"/>
      <c r="BI226" s="264"/>
      <c r="BJ226" s="264"/>
      <c r="BK226" s="66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66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264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66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/>
      <c r="D232" s="66"/>
      <c r="E232" s="264"/>
      <c r="F232" s="264"/>
      <c r="G232" s="264"/>
      <c r="H232" s="66"/>
      <c r="I232" s="264"/>
      <c r="J232" s="264"/>
      <c r="K232" s="264"/>
      <c r="L232" s="66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  <c r="AA232" s="66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66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66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66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4" t="s">
        <v>419</v>
      </c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66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66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66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264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66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66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264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66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264"/>
      <c r="AV240" s="264"/>
      <c r="AW240" s="264"/>
      <c r="AX240" s="264"/>
      <c r="AY240" s="264"/>
      <c r="AZ240" s="264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264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/>
      <c r="D241" s="264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264"/>
      <c r="S241" s="264"/>
      <c r="T241" s="264"/>
      <c r="U241" s="264"/>
      <c r="V241" s="264"/>
      <c r="W241" s="66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66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/>
      <c r="D244" s="264"/>
      <c r="E244" s="264"/>
      <c r="F244" s="264"/>
      <c r="G244" s="264"/>
      <c r="H244" s="264"/>
      <c r="I244" s="264"/>
      <c r="J244" s="264"/>
      <c r="K244" s="264"/>
      <c r="L244" s="264"/>
      <c r="M244" s="264"/>
      <c r="N244" s="264"/>
      <c r="O244" s="264"/>
      <c r="P244" s="66"/>
      <c r="Q244" s="264"/>
      <c r="R244" s="66"/>
      <c r="S244" s="264"/>
      <c r="T244" s="264"/>
      <c r="U244" s="264"/>
      <c r="V244" s="264"/>
      <c r="W244" s="66"/>
      <c r="X244" s="264"/>
      <c r="Y244" s="264"/>
      <c r="Z244" s="264"/>
      <c r="AA244" s="264"/>
      <c r="AB244" s="264"/>
      <c r="AC244" s="264"/>
      <c r="AD244" s="264"/>
      <c r="AE244" s="66"/>
      <c r="AF244" s="264"/>
      <c r="AG244" s="66"/>
      <c r="AH244" s="264"/>
      <c r="AI244" s="264"/>
      <c r="AJ244" s="264"/>
      <c r="AK244" s="264"/>
      <c r="AL244" s="264"/>
      <c r="AM244" s="264"/>
      <c r="AN244" s="264"/>
      <c r="AO244" s="264"/>
      <c r="AP244" s="66"/>
      <c r="AQ244" s="264"/>
      <c r="AR244" s="66"/>
      <c r="AS244" s="264"/>
      <c r="AT244" s="264"/>
      <c r="AU244" s="66"/>
      <c r="AV244" s="264"/>
      <c r="AW244" s="66"/>
      <c r="AX244" s="264"/>
      <c r="AY244" s="264"/>
      <c r="AZ244" s="66"/>
      <c r="BA244" s="264"/>
      <c r="BB244" s="66"/>
      <c r="BC244" s="264"/>
      <c r="BD244" s="264"/>
      <c r="BE244" s="264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66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66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264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264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66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66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4" t="s">
        <v>421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66"/>
      <c r="AQ253" s="264"/>
      <c r="AR253" s="66"/>
      <c r="AS253" s="264"/>
      <c r="AT253" s="264"/>
      <c r="AU253" s="66"/>
      <c r="AV253" s="264"/>
      <c r="AW253" s="264"/>
      <c r="AX253" s="264"/>
      <c r="AY253" s="264"/>
      <c r="AZ253" s="264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264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66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264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4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264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D259" s="66"/>
      <c r="H259" s="66"/>
      <c r="Y259" s="66"/>
      <c r="AA259" s="66"/>
      <c r="AE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BL261" s="66"/>
      <c r="CT261" s="66"/>
    </row>
    <row r="262" spans="1:151">
      <c r="A262" s="160"/>
      <c r="B262" s="160"/>
      <c r="D262" s="66"/>
      <c r="H262" s="66"/>
      <c r="J262" s="66"/>
      <c r="L262" s="66"/>
      <c r="P262" s="66"/>
      <c r="W262" s="66"/>
      <c r="Y262" s="66"/>
      <c r="AA262" s="66"/>
      <c r="AE262" s="66"/>
      <c r="AK262" s="66"/>
      <c r="AO262" s="66"/>
      <c r="AT262" s="66"/>
      <c r="AU262" s="66"/>
      <c r="AY262" s="66"/>
      <c r="AZ262" s="66"/>
      <c r="BH262" s="66"/>
      <c r="BL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Z267" s="66"/>
      <c r="BL267" s="66"/>
      <c r="CT267" s="66"/>
    </row>
    <row r="268" spans="1:151">
      <c r="A268" s="160"/>
      <c r="B268" s="160"/>
      <c r="F268" s="66"/>
      <c r="H268" s="66"/>
      <c r="J268" s="66"/>
      <c r="L268" s="66"/>
      <c r="T268" s="66"/>
      <c r="Y268" s="66"/>
      <c r="AA268" s="66"/>
      <c r="AM268" s="66"/>
      <c r="AO268" s="66"/>
      <c r="AT268" s="66"/>
      <c r="AU268" s="66"/>
      <c r="AZ268" s="66"/>
      <c r="BB268" s="66"/>
      <c r="BE268" s="66"/>
      <c r="BH268" s="66"/>
      <c r="BK268" s="66"/>
      <c r="BL268" s="66"/>
      <c r="CT268" s="66"/>
      <c r="DI268" s="66"/>
      <c r="DS268" s="66"/>
      <c r="DU268" s="66"/>
      <c r="DW268" s="66"/>
      <c r="EC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D271" s="66"/>
      <c r="F271" s="66"/>
      <c r="H271" s="66"/>
      <c r="Y271" s="66"/>
      <c r="AA271" s="66"/>
      <c r="AO271" s="66"/>
      <c r="AP271" s="66"/>
      <c r="AR271" s="66"/>
      <c r="AT271" s="66"/>
      <c r="AU271" s="66"/>
      <c r="AW271" s="66"/>
      <c r="AZ271" s="66"/>
      <c r="BB271" s="66"/>
      <c r="BH271" s="66"/>
      <c r="BL271" s="66"/>
      <c r="CT271" s="66"/>
      <c r="EC271" s="66"/>
    </row>
    <row r="273" spans="4:131">
      <c r="AP273" s="66"/>
      <c r="AU273" s="66"/>
      <c r="BL273" s="66"/>
    </row>
    <row r="274" spans="4:131">
      <c r="L274" s="66"/>
      <c r="T274" s="66"/>
      <c r="W274" s="66"/>
      <c r="AU274" s="66"/>
      <c r="BB274" s="66"/>
      <c r="BH274" s="66"/>
      <c r="BL274" s="66"/>
      <c r="DY274" s="66"/>
      <c r="EA274" s="66"/>
    </row>
    <row r="276" spans="4:131">
      <c r="AU276" s="66"/>
      <c r="AZ276" s="66"/>
      <c r="BF276" s="66"/>
      <c r="BL276" s="66"/>
      <c r="CT276" s="66"/>
    </row>
    <row r="277" spans="4:131">
      <c r="D277" s="66"/>
      <c r="AE277" s="66"/>
      <c r="AO277" s="66"/>
      <c r="AR277" s="66"/>
      <c r="AT277" s="66"/>
      <c r="AZ277" s="66"/>
      <c r="BE277" s="66"/>
      <c r="BL277" s="66"/>
      <c r="CT277" s="66"/>
    </row>
    <row r="279" spans="4:131">
      <c r="AZ279" s="66"/>
      <c r="BF279" s="66"/>
      <c r="BL279" s="66"/>
      <c r="CT279" s="66"/>
    </row>
    <row r="280" spans="4:131">
      <c r="F280" s="66"/>
      <c r="P280" s="66"/>
      <c r="T280" s="66"/>
      <c r="AK280" s="66"/>
      <c r="AO280" s="66"/>
      <c r="AR280" s="66"/>
      <c r="AT280" s="66"/>
      <c r="AU280" s="66"/>
      <c r="AW280" s="66"/>
      <c r="AZ280" s="66"/>
      <c r="BB280" s="66"/>
      <c r="BE280" s="66"/>
      <c r="BF280" s="66"/>
      <c r="BH280" s="66"/>
      <c r="BK280" s="66"/>
      <c r="BL280" s="66"/>
      <c r="CT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164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1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1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3"/>
      <c r="AC4" s="363"/>
      <c r="AD4" s="7" t="s">
        <v>0</v>
      </c>
      <c r="AE4" s="7" t="s">
        <v>236</v>
      </c>
      <c r="AF4" s="7" t="s">
        <v>0</v>
      </c>
      <c r="AG4" s="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1" s="6" customFormat="1">
      <c r="A5" s="367"/>
      <c r="B5" s="368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4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66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66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66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264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66"/>
      <c r="AB16" s="264"/>
      <c r="AC16" s="264"/>
      <c r="AD16" s="264"/>
      <c r="AE16" s="264"/>
      <c r="AF16" s="264"/>
      <c r="AG16" s="264"/>
      <c r="AH16" s="264"/>
      <c r="AI16" s="264"/>
      <c r="AJ16" s="264"/>
      <c r="AK16" s="66"/>
      <c r="AL16" s="264"/>
      <c r="AM16" s="264"/>
      <c r="AN16" s="264"/>
      <c r="AO16" s="264"/>
      <c r="AP16" s="264"/>
      <c r="AQ16" s="264"/>
      <c r="AR16" s="264"/>
      <c r="AS16" s="264"/>
      <c r="AT16" s="66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264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66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/>
      <c r="D19" s="66"/>
      <c r="E19" s="264"/>
      <c r="F19" s="264"/>
      <c r="G19" s="264"/>
      <c r="H19" s="264"/>
      <c r="I19" s="264"/>
      <c r="J19" s="264"/>
      <c r="K19" s="264"/>
      <c r="L19" s="6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66"/>
      <c r="AL22" s="264"/>
      <c r="AM22" s="264"/>
      <c r="AN22" s="264"/>
      <c r="AO22" s="66"/>
      <c r="AP22" s="66"/>
      <c r="AQ22" s="264"/>
      <c r="AR22" s="264"/>
      <c r="AS22" s="264"/>
      <c r="AT22" s="66"/>
      <c r="AU22" s="66"/>
      <c r="AV22" s="264"/>
      <c r="AW22" s="66"/>
      <c r="AX22" s="264"/>
      <c r="AY22" s="264"/>
      <c r="AZ22" s="66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264"/>
      <c r="AV25" s="264"/>
      <c r="AW25" s="66"/>
      <c r="AX25" s="264"/>
      <c r="AY25" s="66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66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264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66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66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66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66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264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66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66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4" t="s">
        <v>1152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66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264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66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66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66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264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66"/>
      <c r="AL43" s="264"/>
      <c r="AM43" s="264"/>
      <c r="AN43" s="264"/>
      <c r="AO43" s="264"/>
      <c r="AP43" s="264"/>
      <c r="AQ43" s="264"/>
      <c r="AR43" s="264"/>
      <c r="AS43" s="264"/>
      <c r="AT43" s="264"/>
      <c r="AU43" s="66"/>
      <c r="AV43" s="264"/>
      <c r="AW43" s="66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66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66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66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66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  <c r="AQ49" s="264"/>
      <c r="AR49" s="66"/>
      <c r="AS49" s="264"/>
      <c r="AT49" s="264"/>
      <c r="AU49" s="264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66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4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66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66"/>
      <c r="E58" s="264"/>
      <c r="F58" s="264"/>
      <c r="G58" s="264"/>
      <c r="H58" s="264"/>
      <c r="I58" s="264"/>
      <c r="J58" s="264"/>
      <c r="K58" s="264"/>
      <c r="L58" s="66"/>
      <c r="M58" s="264"/>
      <c r="N58" s="264"/>
      <c r="O58" s="264"/>
      <c r="P58" s="66"/>
      <c r="Q58" s="264"/>
      <c r="R58" s="264"/>
      <c r="S58" s="264"/>
      <c r="T58" s="66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264"/>
      <c r="AJ58" s="264"/>
      <c r="AK58" s="264"/>
      <c r="AL58" s="264"/>
      <c r="AM58" s="264"/>
      <c r="AN58" s="264"/>
      <c r="AO58" s="66"/>
      <c r="AP58" s="264"/>
      <c r="AQ58" s="264"/>
      <c r="AR58" s="66"/>
      <c r="AS58" s="264"/>
      <c r="AT58" s="264"/>
      <c r="AU58" s="66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66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66"/>
      <c r="DT58" s="264"/>
      <c r="DU58" s="66"/>
      <c r="DV58" s="264"/>
      <c r="DW58" s="66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264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66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66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66"/>
      <c r="DT61" s="264"/>
      <c r="DU61" s="66"/>
      <c r="DV61" s="264"/>
      <c r="DW61" s="264"/>
      <c r="DX61" s="264"/>
      <c r="DY61" s="264"/>
      <c r="DZ61" s="264"/>
      <c r="EA61" s="66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66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/>
      <c r="D64" s="264"/>
      <c r="E64" s="264"/>
      <c r="F64" s="264"/>
      <c r="G64" s="264"/>
      <c r="H64" s="264"/>
      <c r="I64" s="264"/>
      <c r="J64" s="264"/>
      <c r="K64" s="264"/>
      <c r="L64" s="66"/>
      <c r="M64" s="264"/>
      <c r="N64" s="264"/>
      <c r="O64" s="264"/>
      <c r="P64" s="66"/>
      <c r="Q64" s="264"/>
      <c r="R64" s="264"/>
      <c r="S64" s="264"/>
      <c r="T64" s="264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66"/>
      <c r="AF64" s="264"/>
      <c r="AG64" s="264"/>
      <c r="AH64" s="264"/>
      <c r="AI64" s="66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66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264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/>
      <c r="D67" s="66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66"/>
      <c r="DC67" s="264"/>
      <c r="DD67" s="264"/>
      <c r="DE67" s="264"/>
      <c r="DF67" s="264"/>
      <c r="DG67" s="264"/>
      <c r="DH67" s="264"/>
      <c r="DI67" s="264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/>
      <c r="D70" s="66"/>
      <c r="E70" s="264"/>
      <c r="F70" s="66"/>
      <c r="G70" s="264"/>
      <c r="H70" s="66"/>
      <c r="I70" s="264"/>
      <c r="J70" s="264"/>
      <c r="K70" s="264"/>
      <c r="L70" s="66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66"/>
      <c r="AF70" s="264"/>
      <c r="AG70" s="66"/>
      <c r="AH70" s="264"/>
      <c r="AI70" s="66"/>
      <c r="AJ70" s="264"/>
      <c r="AK70" s="66"/>
      <c r="AL70" s="264"/>
      <c r="AM70" s="264"/>
      <c r="AN70" s="264"/>
      <c r="AO70" s="66"/>
      <c r="AP70" s="264"/>
      <c r="AQ70" s="264"/>
      <c r="AR70" s="66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66"/>
      <c r="BG70" s="264"/>
      <c r="BH70" s="264"/>
      <c r="BI70" s="264"/>
      <c r="BJ70" s="264"/>
      <c r="BK70" s="264"/>
      <c r="BL70" s="66"/>
      <c r="BM70" s="264"/>
      <c r="BN70" s="264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66"/>
      <c r="DZ70" s="264"/>
      <c r="EA70" s="66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66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66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264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66"/>
      <c r="E76" s="264"/>
      <c r="F76" s="66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66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66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/>
      <c r="D79" s="264"/>
      <c r="E79" s="264"/>
      <c r="F79" s="264"/>
      <c r="G79" s="264"/>
      <c r="H79" s="66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66"/>
      <c r="AV79" s="264"/>
      <c r="AW79" s="264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66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66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264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/>
      <c r="D82" s="264"/>
      <c r="E82" s="264"/>
      <c r="F82" s="264"/>
      <c r="G82" s="264"/>
      <c r="H82" s="66"/>
      <c r="I82" s="264"/>
      <c r="J82" s="66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66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66"/>
      <c r="AU82" s="264"/>
      <c r="AV82" s="264"/>
      <c r="AW82" s="66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264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4" t="s">
        <v>1171</v>
      </c>
      <c r="C85" s="264"/>
      <c r="D85" s="66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66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66"/>
      <c r="BG85" s="264"/>
      <c r="BH85" s="264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264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66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/>
      <c r="D88" s="66"/>
      <c r="E88" s="264"/>
      <c r="F88" s="264"/>
      <c r="G88" s="264"/>
      <c r="H88" s="66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264"/>
      <c r="AJ88" s="264"/>
      <c r="AK88" s="66"/>
      <c r="AL88" s="264"/>
      <c r="AM88" s="264"/>
      <c r="AN88" s="264"/>
      <c r="AO88" s="264"/>
      <c r="AP88" s="264"/>
      <c r="AQ88" s="264"/>
      <c r="AR88" s="66"/>
      <c r="AS88" s="264"/>
      <c r="AT88" s="264"/>
      <c r="AU88" s="66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66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66"/>
      <c r="E91" s="264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66"/>
      <c r="Q91" s="264"/>
      <c r="R91" s="66"/>
      <c r="S91" s="264"/>
      <c r="T91" s="66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66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66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66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/>
      <c r="D94" s="264"/>
      <c r="E94" s="264"/>
      <c r="F94" s="66"/>
      <c r="G94" s="264"/>
      <c r="H94" s="264"/>
      <c r="I94" s="264"/>
      <c r="J94" s="264"/>
      <c r="K94" s="264"/>
      <c r="L94" s="66"/>
      <c r="M94" s="264"/>
      <c r="N94" s="264"/>
      <c r="O94" s="264"/>
      <c r="P94" s="264"/>
      <c r="Q94" s="264"/>
      <c r="R94" s="66"/>
      <c r="S94" s="264"/>
      <c r="T94" s="66"/>
      <c r="U94" s="264"/>
      <c r="V94" s="264"/>
      <c r="W94" s="66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264"/>
      <c r="BG94" s="264"/>
      <c r="BH94" s="264"/>
      <c r="BI94" s="264"/>
      <c r="BJ94" s="264"/>
      <c r="BK94" s="66"/>
      <c r="BL94" s="66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264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66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66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264"/>
      <c r="BA97" s="264"/>
      <c r="BB97" s="264"/>
      <c r="BC97" s="264"/>
      <c r="BD97" s="264"/>
      <c r="BE97" s="264"/>
      <c r="BF97" s="264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264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66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66"/>
      <c r="BL100" s="264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66"/>
      <c r="CP100" s="66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66"/>
      <c r="DT100" s="264"/>
      <c r="DU100" s="66"/>
      <c r="DV100" s="264"/>
      <c r="DW100" s="264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4" t="s">
        <v>1189</v>
      </c>
      <c r="C103" s="264"/>
      <c r="D103" s="66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66"/>
      <c r="AH103" s="264"/>
      <c r="AI103" s="264"/>
      <c r="AJ103" s="264"/>
      <c r="AK103" s="264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264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264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4" t="s">
        <v>1190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66"/>
      <c r="AS106" s="264"/>
      <c r="AT106" s="264"/>
      <c r="AU106" s="264"/>
      <c r="AV106" s="264"/>
      <c r="AW106" s="264"/>
      <c r="AX106" s="264"/>
      <c r="AY106" s="264"/>
      <c r="AZ106" s="66"/>
      <c r="BA106" s="264"/>
      <c r="BB106" s="264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264"/>
      <c r="AQ108" s="264"/>
      <c r="AR108" s="264"/>
      <c r="AS108" s="264"/>
      <c r="AT108" s="264"/>
      <c r="AU108" s="264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66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4" t="s">
        <v>1192</v>
      </c>
      <c r="C109" s="264"/>
      <c r="D109" s="264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66"/>
      <c r="AZ109" s="66"/>
      <c r="BA109" s="264"/>
      <c r="BB109" s="264"/>
      <c r="BC109" s="264"/>
      <c r="BD109" s="264"/>
      <c r="BE109" s="66"/>
      <c r="BF109" s="264"/>
      <c r="BG109" s="264"/>
      <c r="BH109" s="66"/>
      <c r="BI109" s="264"/>
      <c r="BJ109" s="264"/>
      <c r="BK109" s="66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264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/>
      <c r="D112" s="264"/>
      <c r="E112" s="264"/>
      <c r="F112" s="264"/>
      <c r="G112" s="264"/>
      <c r="H112" s="264"/>
      <c r="I112" s="264"/>
      <c r="J112" s="264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66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66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66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66"/>
      <c r="S115" s="264"/>
      <c r="T115" s="264"/>
      <c r="U115" s="264"/>
      <c r="V115" s="264"/>
      <c r="W115" s="66"/>
      <c r="X115" s="264"/>
      <c r="Y115" s="264"/>
      <c r="Z115" s="264"/>
      <c r="AA115" s="264"/>
      <c r="AB115" s="264"/>
      <c r="AC115" s="264"/>
      <c r="AD115" s="264"/>
      <c r="AE115" s="66"/>
      <c r="AF115" s="264"/>
      <c r="AG115" s="66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66"/>
      <c r="AZ115" s="66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4" t="s">
        <v>465</v>
      </c>
      <c r="C118" s="264"/>
      <c r="D118" s="264"/>
      <c r="E118" s="264"/>
      <c r="F118" s="66"/>
      <c r="G118" s="264"/>
      <c r="H118" s="264"/>
      <c r="I118" s="264"/>
      <c r="J118" s="264"/>
      <c r="K118" s="264"/>
      <c r="L118" s="264"/>
      <c r="M118" s="264"/>
      <c r="N118" s="264"/>
      <c r="O118" s="264"/>
      <c r="P118" s="66"/>
      <c r="Q118" s="264"/>
      <c r="R118" s="264"/>
      <c r="S118" s="264"/>
      <c r="T118" s="264"/>
      <c r="U118" s="264"/>
      <c r="V118" s="264"/>
      <c r="W118" s="66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66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/>
      <c r="D121" s="264"/>
      <c r="E121" s="264"/>
      <c r="F121" s="264"/>
      <c r="G121" s="264"/>
      <c r="H121" s="66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66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66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264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66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264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66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66"/>
      <c r="BA127" s="264"/>
      <c r="BB127" s="66"/>
      <c r="BC127" s="264"/>
      <c r="BD127" s="264"/>
      <c r="BE127" s="66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66"/>
      <c r="AP130" s="66"/>
      <c r="AQ130" s="264"/>
      <c r="AR130" s="264"/>
      <c r="AS130" s="264"/>
      <c r="AT130" s="66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66"/>
      <c r="BF130" s="264"/>
      <c r="BG130" s="264"/>
      <c r="BH130" s="264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4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66"/>
      <c r="Q133" s="264"/>
      <c r="R133" s="264"/>
      <c r="S133" s="264"/>
      <c r="T133" s="264"/>
      <c r="U133" s="264"/>
      <c r="V133" s="264"/>
      <c r="W133" s="264"/>
      <c r="X133" s="264"/>
      <c r="Y133" s="66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264"/>
      <c r="AV133" s="264"/>
      <c r="AW133" s="66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66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4" t="s">
        <v>474</v>
      </c>
      <c r="C136" s="264"/>
      <c r="D136" s="66"/>
      <c r="E136" s="264"/>
      <c r="F136" s="264"/>
      <c r="G136" s="264"/>
      <c r="H136" s="264"/>
      <c r="I136" s="264"/>
      <c r="J136" s="66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66"/>
      <c r="Z136" s="264"/>
      <c r="AA136" s="66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264"/>
      <c r="BC136" s="264"/>
      <c r="BD136" s="264"/>
      <c r="BE136" s="264"/>
      <c r="BF136" s="264"/>
      <c r="BG136" s="264"/>
      <c r="BH136" s="66"/>
      <c r="BI136" s="264"/>
      <c r="BJ136" s="264"/>
      <c r="BK136" s="264"/>
      <c r="BL136" s="264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66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/>
      <c r="D139" s="264"/>
      <c r="E139" s="264"/>
      <c r="F139" s="66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66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66"/>
      <c r="AQ139" s="264"/>
      <c r="AR139" s="264"/>
      <c r="AS139" s="264"/>
      <c r="AT139" s="66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264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66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66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66"/>
      <c r="AP142" s="264"/>
      <c r="AQ142" s="264"/>
      <c r="AR142" s="264"/>
      <c r="AS142" s="264"/>
      <c r="AT142" s="264"/>
      <c r="AU142" s="264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4" t="s">
        <v>477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66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264"/>
      <c r="AQ145" s="264"/>
      <c r="AR145" s="264"/>
      <c r="AS145" s="264"/>
      <c r="AT145" s="264"/>
      <c r="AU145" s="66"/>
      <c r="AV145" s="264"/>
      <c r="AW145" s="264"/>
      <c r="AX145" s="264"/>
      <c r="AY145" s="66"/>
      <c r="AZ145" s="66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66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264"/>
      <c r="AQ148" s="264"/>
      <c r="AR148" s="66"/>
      <c r="AS148" s="264"/>
      <c r="AT148" s="264"/>
      <c r="AU148" s="66"/>
      <c r="AV148" s="264"/>
      <c r="AW148" s="264"/>
      <c r="AX148" s="264"/>
      <c r="AY148" s="264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264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4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264"/>
      <c r="AZ151" s="264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66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264"/>
      <c r="DT151" s="264"/>
      <c r="DU151" s="264"/>
      <c r="DV151" s="264"/>
      <c r="DW151" s="264"/>
      <c r="DX151" s="264"/>
      <c r="DY151" s="264"/>
      <c r="DZ151" s="264"/>
      <c r="EA151" s="264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66"/>
      <c r="E154" s="264"/>
      <c r="F154" s="264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66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66"/>
      <c r="AP154" s="66"/>
      <c r="AQ154" s="264"/>
      <c r="AR154" s="264"/>
      <c r="AS154" s="264"/>
      <c r="AT154" s="66"/>
      <c r="AU154" s="66"/>
      <c r="AV154" s="264"/>
      <c r="AW154" s="66"/>
      <c r="AX154" s="264"/>
      <c r="AY154" s="264"/>
      <c r="AZ154" s="264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264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264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66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264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66"/>
      <c r="BL157" s="264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264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/>
      <c r="D160" s="66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66"/>
      <c r="Q160" s="264"/>
      <c r="R160" s="264"/>
      <c r="S160" s="264"/>
      <c r="T160" s="264"/>
      <c r="U160" s="264"/>
      <c r="V160" s="264"/>
      <c r="W160" s="264"/>
      <c r="X160" s="264"/>
      <c r="Y160" s="66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66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66"/>
      <c r="AX160" s="264"/>
      <c r="AY160" s="264"/>
      <c r="AZ160" s="66"/>
      <c r="BA160" s="264"/>
      <c r="BB160" s="264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/>
      <c r="D163" s="264"/>
      <c r="E163" s="264"/>
      <c r="F163" s="264"/>
      <c r="G163" s="264"/>
      <c r="H163" s="66"/>
      <c r="I163" s="264"/>
      <c r="J163" s="264"/>
      <c r="K163" s="264"/>
      <c r="L163" s="264"/>
      <c r="M163" s="264"/>
      <c r="N163" s="264"/>
      <c r="O163" s="264"/>
      <c r="P163" s="264"/>
      <c r="Q163" s="264"/>
      <c r="R163" s="66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66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66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66"/>
      <c r="AL166" s="264"/>
      <c r="AM166" s="264"/>
      <c r="AN166" s="264"/>
      <c r="AO166" s="264"/>
      <c r="AP166" s="264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/>
      <c r="D169" s="66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66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264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66"/>
      <c r="BC169" s="264"/>
      <c r="BD169" s="264"/>
      <c r="BE169" s="66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264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/>
      <c r="D172" s="264"/>
      <c r="E172" s="264"/>
      <c r="F172" s="66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66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66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66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66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66"/>
      <c r="E175" s="264"/>
      <c r="F175" s="66"/>
      <c r="G175" s="264"/>
      <c r="H175" s="264"/>
      <c r="I175" s="264"/>
      <c r="J175" s="264"/>
      <c r="K175" s="264"/>
      <c r="L175" s="264"/>
      <c r="M175" s="264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66"/>
      <c r="AS175" s="264"/>
      <c r="AT175" s="264"/>
      <c r="AU175" s="66"/>
      <c r="AV175" s="264"/>
      <c r="AW175" s="66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66"/>
      <c r="DV175" s="264"/>
      <c r="DW175" s="66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66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66"/>
      <c r="AP178" s="264"/>
      <c r="AQ178" s="264"/>
      <c r="AR178" s="264"/>
      <c r="AS178" s="264"/>
      <c r="AT178" s="264"/>
      <c r="AU178" s="66"/>
      <c r="AV178" s="264"/>
      <c r="AW178" s="66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4" t="s">
        <v>413</v>
      </c>
      <c r="C181" s="264"/>
      <c r="D181" s="264"/>
      <c r="E181" s="264"/>
      <c r="F181" s="264"/>
      <c r="G181" s="264"/>
      <c r="H181" s="264"/>
      <c r="I181" s="264"/>
      <c r="J181" s="66"/>
      <c r="K181" s="264"/>
      <c r="L181" s="264"/>
      <c r="M181" s="264"/>
      <c r="N181" s="264"/>
      <c r="O181" s="264"/>
      <c r="P181" s="264"/>
      <c r="Q181" s="264"/>
      <c r="R181" s="66"/>
      <c r="S181" s="264"/>
      <c r="T181" s="66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66"/>
      <c r="AS181" s="264"/>
      <c r="AT181" s="264"/>
      <c r="AU181" s="66"/>
      <c r="AV181" s="264"/>
      <c r="AW181" s="66"/>
      <c r="AX181" s="264"/>
      <c r="AY181" s="66"/>
      <c r="AZ181" s="66"/>
      <c r="BA181" s="264"/>
      <c r="BB181" s="66"/>
      <c r="BC181" s="264"/>
      <c r="BD181" s="264"/>
      <c r="BE181" s="264"/>
      <c r="BF181" s="264"/>
      <c r="BG181" s="264"/>
      <c r="BH181" s="264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66"/>
      <c r="BA183" s="264"/>
      <c r="BB183" s="264"/>
      <c r="BC183" s="264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66"/>
      <c r="I184" s="264"/>
      <c r="J184" s="264"/>
      <c r="K184" s="264"/>
      <c r="L184" s="264"/>
      <c r="M184" s="264"/>
      <c r="N184" s="264"/>
      <c r="O184" s="264"/>
      <c r="P184" s="66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66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264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66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/>
      <c r="D187" s="264"/>
      <c r="E187" s="264"/>
      <c r="F187" s="264"/>
      <c r="G187" s="264"/>
      <c r="H187" s="264"/>
      <c r="I187" s="264"/>
      <c r="J187" s="66"/>
      <c r="K187" s="264"/>
      <c r="L187" s="66"/>
      <c r="M187" s="264"/>
      <c r="N187" s="264"/>
      <c r="O187" s="264"/>
      <c r="P187" s="66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66"/>
      <c r="AS187" s="264"/>
      <c r="AT187" s="264"/>
      <c r="AU187" s="66"/>
      <c r="AV187" s="264"/>
      <c r="AW187" s="264"/>
      <c r="AX187" s="264"/>
      <c r="AY187" s="66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66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66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66"/>
      <c r="Q190" s="264"/>
      <c r="R190" s="264"/>
      <c r="S190" s="264"/>
      <c r="T190" s="264"/>
      <c r="U190" s="264"/>
      <c r="V190" s="264"/>
      <c r="W190" s="66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264"/>
      <c r="AQ190" s="264"/>
      <c r="AR190" s="264"/>
      <c r="AS190" s="264"/>
      <c r="AT190" s="264"/>
      <c r="AU190" s="66"/>
      <c r="AV190" s="264"/>
      <c r="AW190" s="264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264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66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66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66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264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4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66"/>
      <c r="AS196" s="264"/>
      <c r="AT196" s="264"/>
      <c r="AU196" s="66"/>
      <c r="AV196" s="264"/>
      <c r="AW196" s="66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66"/>
      <c r="DX196" s="264"/>
      <c r="DY196" s="66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412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4" t="s">
        <v>1452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66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66"/>
      <c r="AV199" s="264"/>
      <c r="AW199" s="264"/>
      <c r="AX199" s="264"/>
      <c r="AY199" s="264"/>
      <c r="AZ199" s="66"/>
      <c r="BA199" s="264"/>
      <c r="BB199" s="264"/>
      <c r="BC199" s="264"/>
      <c r="BD199" s="264"/>
      <c r="BE199" s="66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402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264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66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4" t="s">
        <v>417</v>
      </c>
      <c r="C202" s="264"/>
      <c r="D202" s="66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66"/>
      <c r="U202" s="264"/>
      <c r="V202" s="264"/>
      <c r="W202" s="66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66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1" t="s">
        <v>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494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/>
      <c r="D205" s="66"/>
      <c r="E205" s="264"/>
      <c r="F205" s="264"/>
      <c r="G205" s="264"/>
      <c r="H205" s="264"/>
      <c r="I205" s="264"/>
      <c r="J205" s="66"/>
      <c r="K205" s="264"/>
      <c r="L205" s="264"/>
      <c r="M205" s="264"/>
      <c r="N205" s="264"/>
      <c r="O205" s="264"/>
      <c r="P205" s="66"/>
      <c r="Q205" s="264"/>
      <c r="R205" s="66"/>
      <c r="S205" s="264"/>
      <c r="T205" s="264"/>
      <c r="U205" s="264"/>
      <c r="V205" s="264"/>
      <c r="W205" s="264"/>
      <c r="X205" s="264"/>
      <c r="Y205" s="264"/>
      <c r="Z205" s="264"/>
      <c r="AA205" s="66"/>
      <c r="AB205" s="264"/>
      <c r="AC205" s="264"/>
      <c r="AD205" s="264"/>
      <c r="AE205" s="264"/>
      <c r="AF205" s="264"/>
      <c r="AG205" s="66"/>
      <c r="AH205" s="264"/>
      <c r="AI205" s="264"/>
      <c r="AJ205" s="264"/>
      <c r="AK205" s="66"/>
      <c r="AL205" s="264"/>
      <c r="AM205" s="264"/>
      <c r="AN205" s="264"/>
      <c r="AO205" s="66"/>
      <c r="AP205" s="264"/>
      <c r="AQ205" s="264"/>
      <c r="AR205" s="264"/>
      <c r="AS205" s="264"/>
      <c r="AT205" s="66"/>
      <c r="AU205" s="264"/>
      <c r="AV205" s="264"/>
      <c r="AW205" s="264"/>
      <c r="AX205" s="264"/>
      <c r="AY205" s="264"/>
      <c r="AZ205" s="66"/>
      <c r="BA205" s="264"/>
      <c r="BB205" s="66"/>
      <c r="BC205" s="264"/>
      <c r="BD205" s="264"/>
      <c r="BE205" s="264"/>
      <c r="BF205" s="264"/>
      <c r="BG205" s="264"/>
      <c r="BH205" s="66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1208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66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66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4" t="s">
        <v>1145</v>
      </c>
      <c r="C208" s="264"/>
      <c r="D208" s="66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1453</v>
      </c>
      <c r="C211" s="264"/>
      <c r="D211" s="66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66"/>
      <c r="Q211" s="264"/>
      <c r="R211" s="264"/>
      <c r="S211" s="264"/>
      <c r="T211" s="66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264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1456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/>
      <c r="D214" s="264"/>
      <c r="E214" s="264"/>
      <c r="F214" s="264"/>
      <c r="G214" s="264"/>
      <c r="H214" s="66"/>
      <c r="I214" s="264"/>
      <c r="J214" s="264"/>
      <c r="K214" s="264"/>
      <c r="L214" s="264"/>
      <c r="M214" s="264"/>
      <c r="N214" s="264"/>
      <c r="O214" s="264"/>
      <c r="P214" s="66"/>
      <c r="Q214" s="264"/>
      <c r="R214" s="66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264"/>
      <c r="AF214" s="264"/>
      <c r="AG214" s="66"/>
      <c r="AH214" s="264"/>
      <c r="AI214" s="264"/>
      <c r="AJ214" s="264"/>
      <c r="AK214" s="264"/>
      <c r="AL214" s="264"/>
      <c r="AM214" s="264"/>
      <c r="AN214" s="264"/>
      <c r="AO214" s="66"/>
      <c r="AP214" s="264"/>
      <c r="AQ214" s="264"/>
      <c r="AR214" s="264"/>
      <c r="AS214" s="264"/>
      <c r="AT214" s="66"/>
      <c r="AU214" s="66"/>
      <c r="AV214" s="264"/>
      <c r="AW214" s="264"/>
      <c r="AX214" s="264"/>
      <c r="AY214" s="264"/>
      <c r="AZ214" s="264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1457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1141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66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264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264"/>
      <c r="E220" s="264"/>
      <c r="F220" s="66"/>
      <c r="G220" s="264"/>
      <c r="H220" s="66"/>
      <c r="I220" s="264"/>
      <c r="J220" s="66"/>
      <c r="K220" s="264"/>
      <c r="L220" s="264"/>
      <c r="M220" s="264"/>
      <c r="N220" s="264"/>
      <c r="O220" s="264"/>
      <c r="P220" s="66"/>
      <c r="Q220" s="264"/>
      <c r="R220" s="66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66"/>
      <c r="AF220" s="264"/>
      <c r="AG220" s="264"/>
      <c r="AH220" s="264"/>
      <c r="AI220" s="264"/>
      <c r="AJ220" s="264"/>
      <c r="AK220" s="264"/>
      <c r="AL220" s="264"/>
      <c r="AM220" s="264"/>
      <c r="AN220" s="264"/>
      <c r="AO220" s="66"/>
      <c r="AP220" s="66"/>
      <c r="AQ220" s="264"/>
      <c r="AR220" s="66"/>
      <c r="AS220" s="264"/>
      <c r="AT220" s="66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66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66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  <c r="AA223" s="66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264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264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66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66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264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264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264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66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66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264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/>
      <c r="D232" s="264"/>
      <c r="E232" s="264"/>
      <c r="F232" s="66"/>
      <c r="G232" s="264"/>
      <c r="H232" s="264"/>
      <c r="I232" s="264"/>
      <c r="J232" s="66"/>
      <c r="K232" s="264"/>
      <c r="L232" s="66"/>
      <c r="M232" s="264"/>
      <c r="N232" s="264"/>
      <c r="O232" s="264"/>
      <c r="P232" s="264"/>
      <c r="Q232" s="264"/>
      <c r="R232" s="66"/>
      <c r="S232" s="264"/>
      <c r="T232" s="264"/>
      <c r="U232" s="264"/>
      <c r="V232" s="264"/>
      <c r="W232" s="264"/>
      <c r="X232" s="264"/>
      <c r="Y232" s="66"/>
      <c r="Z232" s="264"/>
      <c r="AA232" s="66"/>
      <c r="AB232" s="264"/>
      <c r="AC232" s="264"/>
      <c r="AD232" s="264"/>
      <c r="AE232" s="66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4" t="s">
        <v>419</v>
      </c>
      <c r="C235" s="264"/>
      <c r="D235" s="264"/>
      <c r="E235" s="264"/>
      <c r="F235" s="66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264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66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66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66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66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264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/>
      <c r="D241" s="66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66"/>
      <c r="AS241" s="264"/>
      <c r="AT241" s="264"/>
      <c r="AU241" s="66"/>
      <c r="AV241" s="264"/>
      <c r="AW241" s="264"/>
      <c r="AX241" s="264"/>
      <c r="AY241" s="264"/>
      <c r="AZ241" s="264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/>
      <c r="D244" s="264"/>
      <c r="E244" s="264"/>
      <c r="F244" s="264"/>
      <c r="G244" s="264"/>
      <c r="H244" s="264"/>
      <c r="I244" s="264"/>
      <c r="J244" s="66"/>
      <c r="K244" s="264"/>
      <c r="L244" s="264"/>
      <c r="M244" s="264"/>
      <c r="N244" s="264"/>
      <c r="O244" s="264"/>
      <c r="P244" s="66"/>
      <c r="Q244" s="264"/>
      <c r="R244" s="264"/>
      <c r="S244" s="264"/>
      <c r="T244" s="264"/>
      <c r="U244" s="264"/>
      <c r="V244" s="264"/>
      <c r="W244" s="264"/>
      <c r="X244" s="264"/>
      <c r="Y244" s="264"/>
      <c r="Z244" s="264"/>
      <c r="AA244" s="264"/>
      <c r="AB244" s="264"/>
      <c r="AC244" s="264"/>
      <c r="AD244" s="264"/>
      <c r="AE244" s="264"/>
      <c r="AF244" s="264"/>
      <c r="AG244" s="264"/>
      <c r="AH244" s="264"/>
      <c r="AI244" s="264"/>
      <c r="AJ244" s="264"/>
      <c r="AK244" s="264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264"/>
      <c r="AV244" s="264"/>
      <c r="AW244" s="264"/>
      <c r="AX244" s="264"/>
      <c r="AY244" s="264"/>
      <c r="AZ244" s="66"/>
      <c r="BA244" s="264"/>
      <c r="BB244" s="264"/>
      <c r="BC244" s="264"/>
      <c r="BD244" s="264"/>
      <c r="BE244" s="264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66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66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66"/>
      <c r="AP247" s="66"/>
      <c r="AQ247" s="264"/>
      <c r="AR247" s="264"/>
      <c r="AS247" s="264"/>
      <c r="AT247" s="66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264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66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66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66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4" t="s">
        <v>421</v>
      </c>
      <c r="C253" s="264"/>
      <c r="D253" s="66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66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66"/>
      <c r="AN253" s="264"/>
      <c r="AO253" s="264"/>
      <c r="AP253" s="66"/>
      <c r="AQ253" s="264"/>
      <c r="AR253" s="66"/>
      <c r="AS253" s="264"/>
      <c r="AT253" s="264"/>
      <c r="AU253" s="66"/>
      <c r="AV253" s="264"/>
      <c r="AW253" s="264"/>
      <c r="AX253" s="264"/>
      <c r="AY253" s="264"/>
      <c r="AZ253" s="264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264"/>
      <c r="EB253" s="264"/>
      <c r="EC253" s="66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4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66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264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ED258" s="66"/>
    </row>
    <row r="259" spans="1:151">
      <c r="A259" s="160"/>
      <c r="B259" s="160"/>
      <c r="H259" s="66"/>
      <c r="Y259" s="66"/>
      <c r="AA259" s="66"/>
      <c r="AK259" s="66"/>
      <c r="AO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CT261" s="66"/>
    </row>
    <row r="262" spans="1:151">
      <c r="A262" s="160"/>
      <c r="B262" s="160"/>
      <c r="J262" s="66"/>
      <c r="L262" s="66"/>
      <c r="P262" s="66"/>
      <c r="AA262" s="66"/>
      <c r="AK262" s="66"/>
      <c r="AP262" s="66"/>
      <c r="AT262" s="66"/>
      <c r="AU262" s="66"/>
      <c r="AY262" s="66"/>
      <c r="AZ262" s="66"/>
      <c r="BE262" s="66"/>
      <c r="BK262" s="66"/>
      <c r="BL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</row>
    <row r="268" spans="1:151">
      <c r="A268" s="160"/>
      <c r="B268" s="160"/>
      <c r="J268" s="66"/>
      <c r="L268" s="66"/>
      <c r="Y268" s="66"/>
      <c r="AM268" s="66"/>
      <c r="AO268" s="66"/>
      <c r="AT268" s="66"/>
      <c r="AZ268" s="66"/>
      <c r="BB268" s="66"/>
      <c r="BE268" s="66"/>
      <c r="BH268" s="66"/>
      <c r="BK268" s="66"/>
      <c r="BL268" s="66"/>
      <c r="CO268" s="66"/>
      <c r="CT268" s="66"/>
      <c r="DI268" s="66"/>
      <c r="DS268" s="66"/>
      <c r="DU268" s="66"/>
      <c r="DW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D271" s="66"/>
      <c r="F271" s="66"/>
      <c r="H271" s="66"/>
      <c r="L271" s="66"/>
      <c r="Y271" s="66"/>
      <c r="AA271" s="66"/>
      <c r="AE271" s="66"/>
      <c r="AO271" s="66"/>
      <c r="AP271" s="66"/>
      <c r="AR271" s="66"/>
      <c r="AU271" s="66"/>
      <c r="AY271" s="66"/>
      <c r="AZ271" s="66"/>
      <c r="BB271" s="66"/>
      <c r="BH271" s="66"/>
      <c r="CT271" s="66"/>
      <c r="EC271" s="66"/>
    </row>
    <row r="273" spans="4:134">
      <c r="AP273" s="66"/>
      <c r="BL273" s="66"/>
    </row>
    <row r="274" spans="4:134">
      <c r="D274" s="66"/>
      <c r="F274" s="66"/>
      <c r="H274" s="66"/>
      <c r="P274" s="66"/>
      <c r="AA274" s="66"/>
      <c r="AE274" s="66"/>
      <c r="AU274" s="66"/>
      <c r="BB274" s="66"/>
      <c r="BH274" s="66"/>
      <c r="BL274" s="66"/>
      <c r="DY274" s="66"/>
      <c r="EA274" s="66"/>
    </row>
    <row r="276" spans="4:134">
      <c r="AU276" s="66"/>
      <c r="AZ276" s="66"/>
      <c r="BF276" s="66"/>
      <c r="BL276" s="66"/>
      <c r="CT276" s="66"/>
      <c r="ED276" s="66"/>
    </row>
    <row r="277" spans="4:134">
      <c r="D277" s="66"/>
      <c r="F277" s="66"/>
      <c r="H277" s="66"/>
      <c r="Y277" s="66"/>
      <c r="AE277" s="66"/>
      <c r="AO277" s="66"/>
      <c r="AR277" s="66"/>
      <c r="AU277" s="66"/>
      <c r="AY277" s="66"/>
      <c r="AZ277" s="66"/>
      <c r="BE277" s="66"/>
      <c r="BH277" s="66"/>
      <c r="BL277" s="66"/>
      <c r="CT277" s="66"/>
    </row>
    <row r="279" spans="4:134">
      <c r="AU279" s="66"/>
      <c r="AZ279" s="66"/>
      <c r="BF279" s="66"/>
      <c r="BL279" s="66"/>
      <c r="CT279" s="66"/>
    </row>
    <row r="280" spans="4:134">
      <c r="F280" s="66"/>
      <c r="P280" s="66"/>
      <c r="R280" s="66"/>
      <c r="T280" s="66"/>
      <c r="AA280" s="66"/>
      <c r="AK280" s="66"/>
      <c r="AM280" s="66"/>
      <c r="AO280" s="66"/>
      <c r="AR280" s="66"/>
      <c r="AT280" s="66"/>
      <c r="AU280" s="66"/>
      <c r="AY280" s="66"/>
      <c r="AZ280" s="66"/>
      <c r="BB280" s="66"/>
      <c r="BE280" s="66"/>
      <c r="BF280" s="66"/>
      <c r="BH280" s="66"/>
      <c r="BK280" s="66"/>
      <c r="BL280" s="66"/>
      <c r="CT280" s="66"/>
      <c r="ED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H280"/>
  <sheetViews>
    <sheetView workbookViewId="0">
      <pane xSplit="2" ySplit="5" topLeftCell="EA23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64" ht="26.25">
      <c r="B1" s="31" t="s">
        <v>165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64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64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64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3"/>
      <c r="AC4" s="363"/>
      <c r="AD4" s="7" t="s">
        <v>0</v>
      </c>
      <c r="AE4" s="7" t="s">
        <v>236</v>
      </c>
      <c r="AF4" s="7" t="s">
        <v>0</v>
      </c>
      <c r="AG4" s="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64" s="6" customFormat="1">
      <c r="A5" s="367"/>
      <c r="B5" s="368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64" ht="15" customHeight="1">
      <c r="A6" s="252"/>
      <c r="B6" s="264" t="s">
        <v>271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66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</row>
    <row r="7" spans="1:164">
      <c r="A7" s="253"/>
      <c r="B7" s="264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</row>
    <row r="8" spans="1:164" ht="15" customHeight="1">
      <c r="A8" s="254"/>
      <c r="B8" s="264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</row>
    <row r="9" spans="1:164" ht="15" customHeight="1">
      <c r="A9" s="255"/>
      <c r="B9" s="264" t="s">
        <v>536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</row>
    <row r="10" spans="1:164">
      <c r="A10" s="256"/>
      <c r="B10" s="264" t="s">
        <v>537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66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66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</row>
    <row r="11" spans="1:164">
      <c r="A11" s="256"/>
      <c r="B11" s="264" t="s">
        <v>570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</row>
    <row r="12" spans="1:164">
      <c r="A12" s="256"/>
      <c r="B12" s="264" t="s">
        <v>608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</row>
    <row r="13" spans="1:164">
      <c r="A13" s="257"/>
      <c r="B13" s="264" t="s">
        <v>609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</row>
    <row r="14" spans="1:164" ht="15" customHeight="1">
      <c r="A14" s="254"/>
      <c r="B14" s="264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</row>
    <row r="15" spans="1:164" ht="15" customHeight="1">
      <c r="A15" s="252"/>
      <c r="B15" s="264" t="s">
        <v>271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</row>
    <row r="16" spans="1:164">
      <c r="A16" s="253"/>
      <c r="B16" s="264" t="s">
        <v>273</v>
      </c>
      <c r="C16" s="264"/>
      <c r="D16" s="66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66"/>
      <c r="AP16" s="66"/>
      <c r="AQ16" s="264"/>
      <c r="AR16" s="264"/>
      <c r="AS16" s="264"/>
      <c r="AT16" s="66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</row>
    <row r="17" spans="1:164" ht="15" customHeight="1">
      <c r="A17" s="254"/>
      <c r="B17" s="264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</row>
    <row r="18" spans="1:164" ht="15" customHeight="1">
      <c r="A18" s="255"/>
      <c r="B18" s="264" t="s">
        <v>540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66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</row>
    <row r="19" spans="1:164">
      <c r="A19" s="256"/>
      <c r="B19" s="264" t="s">
        <v>541</v>
      </c>
      <c r="C19" s="264"/>
      <c r="D19" s="66"/>
      <c r="E19" s="264"/>
      <c r="F19" s="264"/>
      <c r="G19" s="264"/>
      <c r="H19" s="264"/>
      <c r="I19" s="264"/>
      <c r="J19" s="264"/>
      <c r="K19" s="264"/>
      <c r="L19" s="6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  <c r="AR19" s="264"/>
      <c r="AS19" s="264"/>
      <c r="AT19" s="66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</row>
    <row r="20" spans="1:164">
      <c r="A20" s="256"/>
      <c r="B20" s="264" t="s">
        <v>570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</row>
    <row r="21" spans="1:164">
      <c r="A21" s="256"/>
      <c r="B21" s="264" t="s">
        <v>610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264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264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</row>
    <row r="22" spans="1:164">
      <c r="A22" s="257"/>
      <c r="B22" s="264" t="s">
        <v>611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66"/>
      <c r="AB22" s="264"/>
      <c r="AC22" s="264"/>
      <c r="AD22" s="264"/>
      <c r="AE22" s="264"/>
      <c r="AF22" s="264"/>
      <c r="AG22" s="264"/>
      <c r="AH22" s="264"/>
      <c r="AI22" s="264"/>
      <c r="AJ22" s="264"/>
      <c r="AK22" s="66"/>
      <c r="AL22" s="264"/>
      <c r="AM22" s="264"/>
      <c r="AN22" s="264"/>
      <c r="AO22" s="66"/>
      <c r="AP22" s="66"/>
      <c r="AQ22" s="264"/>
      <c r="AR22" s="264"/>
      <c r="AS22" s="264"/>
      <c r="AT22" s="264"/>
      <c r="AU22" s="66"/>
      <c r="AV22" s="264"/>
      <c r="AW22" s="66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4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</row>
    <row r="23" spans="1:164" ht="15" customHeight="1">
      <c r="A23" s="254"/>
      <c r="B23" s="264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</row>
    <row r="24" spans="1:164">
      <c r="A24" s="251"/>
      <c r="B24" s="264" t="s">
        <v>271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</row>
    <row r="25" spans="1:164">
      <c r="A25" s="251"/>
      <c r="B25" s="264" t="s">
        <v>274</v>
      </c>
      <c r="C25" s="264"/>
      <c r="D25" s="264"/>
      <c r="E25" s="264"/>
      <c r="F25" s="66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66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66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264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66"/>
      <c r="DT25" s="264"/>
      <c r="DU25" s="264"/>
      <c r="DV25" s="264"/>
      <c r="DW25" s="66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</row>
    <row r="26" spans="1:164" ht="15" customHeight="1">
      <c r="A26" s="254"/>
      <c r="B26" s="264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</row>
    <row r="27" spans="1:164" ht="15" customHeight="1">
      <c r="A27" s="255"/>
      <c r="B27" s="264" t="s">
        <v>544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</row>
    <row r="28" spans="1:164">
      <c r="A28" s="256"/>
      <c r="B28" s="264" t="s">
        <v>537</v>
      </c>
      <c r="C28" s="264"/>
      <c r="D28" s="264"/>
      <c r="E28" s="264"/>
      <c r="F28" s="66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66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264"/>
      <c r="AQ28" s="264"/>
      <c r="AR28" s="264"/>
      <c r="AS28" s="264"/>
      <c r="AT28" s="264"/>
      <c r="AU28" s="66"/>
      <c r="AV28" s="264"/>
      <c r="AW28" s="66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66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</row>
    <row r="29" spans="1:164">
      <c r="A29" s="256"/>
      <c r="B29" s="264" t="s">
        <v>570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</row>
    <row r="30" spans="1:164">
      <c r="A30" s="256"/>
      <c r="B30" s="264" t="s">
        <v>612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</row>
    <row r="31" spans="1:164">
      <c r="A31" s="257"/>
      <c r="B31" s="264" t="s">
        <v>613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66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66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264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</row>
    <row r="32" spans="1:164" ht="15" customHeight="1">
      <c r="A32" s="254"/>
      <c r="B32" s="264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</row>
    <row r="33" spans="1:164" ht="15" customHeight="1">
      <c r="A33" s="252"/>
      <c r="B33" s="264" t="s">
        <v>271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264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66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</row>
    <row r="34" spans="1:164">
      <c r="A34" s="253"/>
      <c r="B34" s="264" t="s">
        <v>275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</row>
    <row r="35" spans="1:164" ht="15" customHeight="1">
      <c r="A35" s="254"/>
      <c r="B35" s="264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</row>
    <row r="36" spans="1:164" ht="15" customHeight="1">
      <c r="A36" s="252"/>
      <c r="B36" s="264" t="s">
        <v>276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</row>
    <row r="37" spans="1:164">
      <c r="A37" s="253"/>
      <c r="B37" s="264" t="s">
        <v>277</v>
      </c>
      <c r="C37" s="264"/>
      <c r="D37" s="264"/>
      <c r="E37" s="264"/>
      <c r="F37" s="66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66"/>
      <c r="AL37" s="264"/>
      <c r="AM37" s="264"/>
      <c r="AN37" s="264"/>
      <c r="AO37" s="264"/>
      <c r="AP37" s="264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</row>
    <row r="38" spans="1:164" ht="15" customHeight="1">
      <c r="A38" s="254"/>
      <c r="B38" s="264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</row>
    <row r="39" spans="1:164" ht="15" customHeight="1">
      <c r="A39" s="252"/>
      <c r="B39" s="264" t="s">
        <v>547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66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</row>
    <row r="40" spans="1:164">
      <c r="A40" s="253"/>
      <c r="B40" s="264" t="s">
        <v>548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</row>
    <row r="41" spans="1:164" ht="15" customHeight="1">
      <c r="A41" s="254"/>
      <c r="B41" s="264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</row>
    <row r="42" spans="1:164" ht="15" customHeight="1">
      <c r="A42" s="252"/>
      <c r="B42" s="264" t="s">
        <v>271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66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</row>
    <row r="43" spans="1:164">
      <c r="A43" s="253"/>
      <c r="B43" s="264" t="s">
        <v>278</v>
      </c>
      <c r="C43" s="264"/>
      <c r="D43" s="264"/>
      <c r="E43" s="264"/>
      <c r="F43" s="66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66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66"/>
      <c r="AQ43" s="264"/>
      <c r="AR43" s="264"/>
      <c r="AS43" s="264"/>
      <c r="AT43" s="264"/>
      <c r="AU43" s="66"/>
      <c r="AV43" s="264"/>
      <c r="AW43" s="66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66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</row>
    <row r="44" spans="1:164" ht="15" customHeight="1">
      <c r="A44" s="254"/>
      <c r="B44" s="264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</row>
    <row r="45" spans="1:164" ht="15" customHeight="1">
      <c r="A45" s="252"/>
      <c r="B45" s="264" t="s">
        <v>271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</row>
    <row r="46" spans="1:164">
      <c r="A46" s="253"/>
      <c r="B46" s="264" t="s">
        <v>279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66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66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  <c r="EW46" s="74"/>
      <c r="EX46" s="74"/>
      <c r="EY46" s="74"/>
      <c r="EZ46" s="74"/>
      <c r="FA46" s="74"/>
      <c r="FB46" s="74"/>
      <c r="FC46" s="74"/>
      <c r="FD46" s="74"/>
      <c r="FE46" s="74"/>
      <c r="FF46" s="74"/>
      <c r="FG46" s="74"/>
      <c r="FH46" s="74"/>
    </row>
    <row r="47" spans="1:164" ht="15" customHeight="1">
      <c r="A47" s="254"/>
      <c r="B47" s="264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</row>
    <row r="48" spans="1:164" ht="15" customHeight="1">
      <c r="A48" s="255"/>
      <c r="B48" s="264" t="s">
        <v>549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</row>
    <row r="49" spans="1:164">
      <c r="A49" s="256"/>
      <c r="B49" s="264" t="s">
        <v>550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66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</row>
    <row r="50" spans="1:164">
      <c r="A50" s="256"/>
      <c r="B50" s="264" t="s">
        <v>570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</row>
    <row r="51" spans="1:164">
      <c r="A51" s="256"/>
      <c r="B51" s="264" t="s">
        <v>614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</row>
    <row r="52" spans="1:164">
      <c r="A52" s="257"/>
      <c r="B52" s="264" t="s">
        <v>615</v>
      </c>
      <c r="C52" s="264"/>
      <c r="D52" s="264"/>
      <c r="E52" s="264"/>
      <c r="F52" s="66"/>
      <c r="G52" s="264"/>
      <c r="H52" s="264"/>
      <c r="I52" s="264"/>
      <c r="J52" s="264"/>
      <c r="K52" s="264"/>
      <c r="L52" s="264"/>
      <c r="M52" s="264"/>
      <c r="N52" s="264"/>
      <c r="O52" s="264"/>
      <c r="P52" s="66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66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</row>
    <row r="53" spans="1:164" ht="15" customHeight="1">
      <c r="A53" s="254"/>
      <c r="B53" s="264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</row>
    <row r="54" spans="1:164" ht="15" customHeight="1">
      <c r="A54" s="252"/>
      <c r="B54" s="264" t="s">
        <v>280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66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</row>
    <row r="55" spans="1:164">
      <c r="A55" s="253"/>
      <c r="B55" s="264" t="s">
        <v>281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66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</row>
    <row r="56" spans="1:164" ht="15" customHeight="1">
      <c r="A56" s="254"/>
      <c r="B56" s="264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</row>
    <row r="57" spans="1:164">
      <c r="A57" s="258"/>
      <c r="B57" s="264" t="s">
        <v>282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</row>
    <row r="58" spans="1:164">
      <c r="A58" s="259"/>
      <c r="B58" s="264" t="s">
        <v>283</v>
      </c>
      <c r="C58" s="264"/>
      <c r="D58" s="66"/>
      <c r="E58" s="264"/>
      <c r="F58" s="66"/>
      <c r="G58" s="264"/>
      <c r="H58" s="264"/>
      <c r="I58" s="264"/>
      <c r="J58" s="264"/>
      <c r="K58" s="264"/>
      <c r="L58" s="66"/>
      <c r="M58" s="264"/>
      <c r="N58" s="264"/>
      <c r="O58" s="264"/>
      <c r="P58" s="66"/>
      <c r="Q58" s="264"/>
      <c r="R58" s="264"/>
      <c r="S58" s="264"/>
      <c r="T58" s="66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  <c r="AM58" s="264"/>
      <c r="AN58" s="264"/>
      <c r="AO58" s="66"/>
      <c r="AP58" s="264"/>
      <c r="AQ58" s="264"/>
      <c r="AR58" s="264"/>
      <c r="AS58" s="264"/>
      <c r="AT58" s="264"/>
      <c r="AU58" s="66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</row>
    <row r="59" spans="1:164" ht="15" customHeight="1">
      <c r="A59" s="254"/>
      <c r="B59" s="264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</row>
    <row r="60" spans="1:164">
      <c r="A60" s="258"/>
      <c r="B60" s="264" t="s">
        <v>284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264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</row>
    <row r="61" spans="1:164">
      <c r="A61" s="259"/>
      <c r="B61" s="264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66"/>
      <c r="DJ61" s="264"/>
      <c r="DK61" s="264"/>
      <c r="DL61" s="264"/>
      <c r="DM61" s="264"/>
      <c r="DN61" s="264"/>
      <c r="DO61" s="264"/>
      <c r="DP61" s="264"/>
      <c r="DQ61" s="264"/>
      <c r="DR61" s="264"/>
      <c r="DS61" s="66"/>
      <c r="DT61" s="264"/>
      <c r="DU61" s="66"/>
      <c r="DV61" s="264"/>
      <c r="DW61" s="264"/>
      <c r="DX61" s="264"/>
      <c r="DY61" s="264"/>
      <c r="DZ61" s="264"/>
      <c r="EA61" s="264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</row>
    <row r="62" spans="1:164" ht="15" customHeight="1">
      <c r="A62" s="254"/>
      <c r="B62" s="264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</row>
    <row r="63" spans="1:164">
      <c r="A63" s="258"/>
      <c r="B63" s="264" t="s">
        <v>286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</row>
    <row r="64" spans="1:164">
      <c r="A64" s="259"/>
      <c r="B64" s="264" t="s">
        <v>287</v>
      </c>
      <c r="C64" s="264"/>
      <c r="D64" s="264"/>
      <c r="E64" s="264"/>
      <c r="F64" s="264"/>
      <c r="G64" s="264"/>
      <c r="H64" s="264"/>
      <c r="I64" s="264"/>
      <c r="J64" s="264"/>
      <c r="K64" s="264"/>
      <c r="L64" s="66"/>
      <c r="M64" s="264"/>
      <c r="N64" s="264"/>
      <c r="O64" s="264"/>
      <c r="P64" s="66"/>
      <c r="Q64" s="264"/>
      <c r="R64" s="264"/>
      <c r="S64" s="264"/>
      <c r="T64" s="264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66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66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</row>
    <row r="65" spans="1:164" ht="15" customHeight="1">
      <c r="A65" s="254"/>
      <c r="B65" s="264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</row>
    <row r="66" spans="1:164">
      <c r="A66" s="258"/>
      <c r="B66" s="264" t="s">
        <v>288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264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264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264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</row>
    <row r="67" spans="1:164">
      <c r="A67" s="259"/>
      <c r="B67" s="264" t="s">
        <v>289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66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</row>
    <row r="68" spans="1:164" ht="15" customHeight="1">
      <c r="A68" s="254"/>
      <c r="B68" s="264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</row>
    <row r="69" spans="1:164">
      <c r="A69" s="258"/>
      <c r="B69" s="264" t="s">
        <v>290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66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</row>
    <row r="70" spans="1:164">
      <c r="A70" s="259"/>
      <c r="B70" s="264" t="s">
        <v>291</v>
      </c>
      <c r="C70" s="264"/>
      <c r="D70" s="264"/>
      <c r="E70" s="264"/>
      <c r="F70" s="66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66"/>
      <c r="AF70" s="264"/>
      <c r="AG70" s="66"/>
      <c r="AH70" s="264"/>
      <c r="AI70" s="66"/>
      <c r="AJ70" s="264"/>
      <c r="AK70" s="264"/>
      <c r="AL70" s="264"/>
      <c r="AM70" s="264"/>
      <c r="AN70" s="264"/>
      <c r="AO70" s="264"/>
      <c r="AP70" s="264"/>
      <c r="AQ70" s="264"/>
      <c r="AR70" s="66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66"/>
      <c r="BG70" s="264"/>
      <c r="BH70" s="264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66"/>
      <c r="DZ70" s="264"/>
      <c r="EA70" s="264"/>
      <c r="EB70" s="264"/>
      <c r="EC70" s="264"/>
      <c r="ED70" s="66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  <c r="EW70" s="74"/>
      <c r="EX70" s="74"/>
      <c r="EY70" s="74"/>
      <c r="EZ70" s="74"/>
      <c r="FA70" s="74"/>
      <c r="FB70" s="74"/>
      <c r="FC70" s="74"/>
      <c r="FD70" s="74"/>
      <c r="FE70" s="74"/>
      <c r="FF70" s="74"/>
      <c r="FG70" s="74"/>
      <c r="FH70" s="74"/>
    </row>
    <row r="71" spans="1:164" ht="15" customHeight="1">
      <c r="A71" s="254"/>
      <c r="B71" s="264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</row>
    <row r="72" spans="1:164">
      <c r="A72" s="258"/>
      <c r="B72" s="264" t="s">
        <v>292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</row>
    <row r="73" spans="1:164">
      <c r="A73" s="259"/>
      <c r="B73" s="264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66"/>
      <c r="CQ73" s="264"/>
      <c r="CR73" s="264"/>
      <c r="CS73" s="264"/>
      <c r="CT73" s="66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</row>
    <row r="74" spans="1:164" ht="15" customHeight="1">
      <c r="A74" s="254"/>
      <c r="B74" s="264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</row>
    <row r="75" spans="1:164">
      <c r="A75" s="258"/>
      <c r="B75" s="264" t="s">
        <v>294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66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66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</row>
    <row r="76" spans="1:164">
      <c r="A76" s="259"/>
      <c r="B76" s="264" t="s">
        <v>295</v>
      </c>
      <c r="C76" s="264"/>
      <c r="D76" s="66"/>
      <c r="E76" s="264"/>
      <c r="F76" s="66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66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</row>
    <row r="77" spans="1:164" ht="15" customHeight="1">
      <c r="A77" s="254"/>
      <c r="B77" s="264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</row>
    <row r="78" spans="1:164">
      <c r="A78" s="258"/>
      <c r="B78" s="264" t="s">
        <v>296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264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</row>
    <row r="79" spans="1:164">
      <c r="A79" s="259"/>
      <c r="B79" s="264" t="s">
        <v>289</v>
      </c>
      <c r="C79" s="264"/>
      <c r="D79" s="264"/>
      <c r="E79" s="264"/>
      <c r="F79" s="66"/>
      <c r="G79" s="264"/>
      <c r="H79" s="66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66"/>
      <c r="AV79" s="264"/>
      <c r="AW79" s="264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</row>
    <row r="80" spans="1:164" ht="15" customHeight="1">
      <c r="A80" s="254"/>
      <c r="B80" s="264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</row>
    <row r="81" spans="1:164">
      <c r="A81" s="258"/>
      <c r="B81" s="264" t="s">
        <v>297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66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</row>
    <row r="82" spans="1:164">
      <c r="A82" s="259"/>
      <c r="B82" s="264" t="s">
        <v>291</v>
      </c>
      <c r="C82" s="264"/>
      <c r="D82" s="264"/>
      <c r="E82" s="264"/>
      <c r="F82" s="264"/>
      <c r="G82" s="264"/>
      <c r="H82" s="66"/>
      <c r="I82" s="264"/>
      <c r="J82" s="66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66"/>
      <c r="AB82" s="264"/>
      <c r="AC82" s="264"/>
      <c r="AD82" s="264"/>
      <c r="AE82" s="264"/>
      <c r="AF82" s="264"/>
      <c r="AG82" s="264"/>
      <c r="AH82" s="264"/>
      <c r="AI82" s="264"/>
      <c r="AJ82" s="264"/>
      <c r="AK82" s="66"/>
      <c r="AL82" s="264"/>
      <c r="AM82" s="264"/>
      <c r="AN82" s="264"/>
      <c r="AO82" s="264"/>
      <c r="AP82" s="264"/>
      <c r="AQ82" s="264"/>
      <c r="AR82" s="264"/>
      <c r="AS82" s="264"/>
      <c r="AT82" s="66"/>
      <c r="AU82" s="66"/>
      <c r="AV82" s="264"/>
      <c r="AW82" s="66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264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</row>
    <row r="83" spans="1:164" ht="15" customHeight="1">
      <c r="A83" s="254"/>
      <c r="B83" s="264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</row>
    <row r="84" spans="1:164">
      <c r="A84" s="258"/>
      <c r="B84" s="264" t="s">
        <v>298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66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</row>
    <row r="85" spans="1:164">
      <c r="A85" s="259"/>
      <c r="B85" s="264" t="s">
        <v>291</v>
      </c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66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66"/>
      <c r="BG85" s="264"/>
      <c r="BH85" s="66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</row>
    <row r="86" spans="1:164" ht="15" customHeight="1">
      <c r="A86" s="254"/>
      <c r="B86" s="264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</row>
    <row r="87" spans="1:164">
      <c r="A87" s="258"/>
      <c r="B87" s="264" t="s">
        <v>299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66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66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  <c r="EW87" s="74"/>
      <c r="EX87" s="74"/>
      <c r="EY87" s="74"/>
      <c r="EZ87" s="74"/>
      <c r="FA87" s="74"/>
      <c r="FB87" s="74"/>
      <c r="FC87" s="74"/>
      <c r="FD87" s="74"/>
      <c r="FE87" s="74"/>
      <c r="FF87" s="74"/>
      <c r="FG87" s="74"/>
      <c r="FH87" s="74"/>
    </row>
    <row r="88" spans="1:164">
      <c r="A88" s="259"/>
      <c r="B88" s="264" t="s">
        <v>291</v>
      </c>
      <c r="C88" s="264"/>
      <c r="D88" s="66"/>
      <c r="E88" s="264"/>
      <c r="F88" s="264"/>
      <c r="G88" s="264"/>
      <c r="H88" s="66"/>
      <c r="I88" s="264"/>
      <c r="J88" s="264"/>
      <c r="K88" s="264"/>
      <c r="L88" s="66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66"/>
      <c r="AS88" s="264"/>
      <c r="AT88" s="264"/>
      <c r="AU88" s="264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66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66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66"/>
      <c r="DZ88" s="264"/>
      <c r="EA88" s="66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  <c r="EW88" s="74"/>
      <c r="EX88" s="74"/>
      <c r="EY88" s="74"/>
      <c r="EZ88" s="74"/>
      <c r="FA88" s="74"/>
      <c r="FB88" s="74"/>
      <c r="FC88" s="74"/>
      <c r="FD88" s="74"/>
      <c r="FE88" s="74"/>
      <c r="FF88" s="74"/>
      <c r="FG88" s="74"/>
      <c r="FH88" s="74"/>
    </row>
    <row r="89" spans="1:164" ht="15" customHeight="1">
      <c r="A89" s="254"/>
      <c r="B89" s="264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  <c r="EW89" s="74"/>
      <c r="EX89" s="74"/>
      <c r="EY89" s="74"/>
      <c r="EZ89" s="74"/>
      <c r="FA89" s="74"/>
      <c r="FB89" s="74"/>
      <c r="FC89" s="74"/>
      <c r="FD89" s="74"/>
      <c r="FE89" s="74"/>
      <c r="FF89" s="74"/>
      <c r="FG89" s="74"/>
      <c r="FH89" s="74"/>
    </row>
    <row r="90" spans="1:164">
      <c r="A90" s="258"/>
      <c r="B90" s="264" t="s">
        <v>300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264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66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  <c r="EW90" s="74"/>
      <c r="EX90" s="74"/>
      <c r="EY90" s="74"/>
      <c r="EZ90" s="74"/>
      <c r="FA90" s="74"/>
      <c r="FB90" s="74"/>
      <c r="FC90" s="74"/>
      <c r="FD90" s="74"/>
      <c r="FE90" s="74"/>
      <c r="FF90" s="74"/>
      <c r="FG90" s="74"/>
      <c r="FH90" s="74"/>
    </row>
    <row r="91" spans="1:164">
      <c r="A91" s="259"/>
      <c r="B91" s="264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66"/>
      <c r="S91" s="264"/>
      <c r="T91" s="264"/>
      <c r="U91" s="264"/>
      <c r="V91" s="264"/>
      <c r="W91" s="66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66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264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  <c r="EW91" s="74"/>
      <c r="EX91" s="74"/>
      <c r="EY91" s="74"/>
      <c r="EZ91" s="74"/>
      <c r="FA91" s="74"/>
      <c r="FB91" s="74"/>
      <c r="FC91" s="74"/>
      <c r="FD91" s="74"/>
      <c r="FE91" s="74"/>
      <c r="FF91" s="74"/>
      <c r="FG91" s="74"/>
      <c r="FH91" s="74"/>
    </row>
    <row r="92" spans="1:164" ht="15" customHeight="1">
      <c r="A92" s="254"/>
      <c r="B92" s="264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  <c r="EW92" s="74"/>
      <c r="EX92" s="74"/>
      <c r="EY92" s="74"/>
      <c r="EZ92" s="74"/>
      <c r="FA92" s="74"/>
      <c r="FB92" s="74"/>
      <c r="FC92" s="74"/>
      <c r="FD92" s="74"/>
      <c r="FE92" s="74"/>
      <c r="FF92" s="74"/>
      <c r="FG92" s="74"/>
      <c r="FH92" s="74"/>
    </row>
    <row r="93" spans="1:164">
      <c r="A93" s="258"/>
      <c r="B93" s="264" t="s">
        <v>301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66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66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  <c r="EW93" s="74"/>
      <c r="EX93" s="74"/>
      <c r="EY93" s="74"/>
      <c r="EZ93" s="74"/>
      <c r="FA93" s="74"/>
      <c r="FB93" s="74"/>
      <c r="FC93" s="74"/>
      <c r="FD93" s="74"/>
      <c r="FE93" s="74"/>
      <c r="FF93" s="74"/>
      <c r="FG93" s="74"/>
      <c r="FH93" s="74"/>
    </row>
    <row r="94" spans="1:164">
      <c r="A94" s="259"/>
      <c r="B94" s="264" t="s">
        <v>302</v>
      </c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66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66"/>
      <c r="BF94" s="66"/>
      <c r="BG94" s="264"/>
      <c r="BH94" s="264"/>
      <c r="BI94" s="264"/>
      <c r="BJ94" s="264"/>
      <c r="BK94" s="66"/>
      <c r="BL94" s="66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  <c r="EW94" s="74"/>
      <c r="EX94" s="74"/>
      <c r="EY94" s="74"/>
      <c r="EZ94" s="74"/>
      <c r="FA94" s="74"/>
      <c r="FB94" s="74"/>
      <c r="FC94" s="74"/>
      <c r="FD94" s="74"/>
      <c r="FE94" s="74"/>
      <c r="FF94" s="74"/>
      <c r="FG94" s="74"/>
      <c r="FH94" s="74"/>
    </row>
    <row r="95" spans="1:164" ht="15" customHeight="1">
      <c r="A95" s="254"/>
      <c r="B95" s="264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  <c r="EW95" s="74"/>
      <c r="EX95" s="74"/>
      <c r="EY95" s="74"/>
      <c r="EZ95" s="74"/>
      <c r="FA95" s="74"/>
      <c r="FB95" s="74"/>
      <c r="FC95" s="74"/>
      <c r="FD95" s="74"/>
      <c r="FE95" s="74"/>
      <c r="FF95" s="74"/>
      <c r="FG95" s="74"/>
      <c r="FH95" s="74"/>
    </row>
    <row r="96" spans="1:164">
      <c r="A96" s="258"/>
      <c r="B96" s="260" t="s">
        <v>308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  <c r="EW96" s="74"/>
      <c r="EX96" s="74"/>
      <c r="EY96" s="74"/>
      <c r="EZ96" s="74"/>
      <c r="FA96" s="74"/>
      <c r="FB96" s="74"/>
      <c r="FC96" s="74"/>
      <c r="FD96" s="74"/>
      <c r="FE96" s="74"/>
      <c r="FF96" s="74"/>
      <c r="FG96" s="74"/>
      <c r="FH96" s="74"/>
    </row>
    <row r="97" spans="1:164">
      <c r="A97" s="259"/>
      <c r="B97" s="260" t="s">
        <v>309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264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  <c r="EW97" s="74"/>
      <c r="EX97" s="74"/>
      <c r="EY97" s="74"/>
      <c r="EZ97" s="74"/>
      <c r="FA97" s="74"/>
      <c r="FB97" s="74"/>
      <c r="FC97" s="74"/>
      <c r="FD97" s="74"/>
      <c r="FE97" s="74"/>
      <c r="FF97" s="74"/>
      <c r="FG97" s="74"/>
      <c r="FH97" s="74"/>
    </row>
    <row r="98" spans="1:164" ht="15" customHeight="1">
      <c r="A98" s="254"/>
      <c r="B98" s="264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  <c r="EW98" s="74"/>
      <c r="EX98" s="74"/>
      <c r="EY98" s="74"/>
      <c r="EZ98" s="74"/>
      <c r="FA98" s="74"/>
      <c r="FB98" s="74"/>
      <c r="FC98" s="74"/>
      <c r="FD98" s="74"/>
      <c r="FE98" s="74"/>
      <c r="FF98" s="74"/>
      <c r="FG98" s="74"/>
      <c r="FH98" s="74"/>
    </row>
    <row r="99" spans="1:164">
      <c r="A99" s="258"/>
      <c r="B99" s="264" t="s">
        <v>645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264"/>
      <c r="BG99" s="264"/>
      <c r="BH99" s="264"/>
      <c r="BI99" s="264"/>
      <c r="BJ99" s="264"/>
      <c r="BK99" s="264"/>
      <c r="BL99" s="264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  <c r="EW99" s="74"/>
      <c r="EX99" s="74"/>
      <c r="EY99" s="74"/>
      <c r="EZ99" s="74"/>
      <c r="FA99" s="74"/>
      <c r="FB99" s="74"/>
      <c r="FC99" s="74"/>
      <c r="FD99" s="74"/>
      <c r="FE99" s="74"/>
      <c r="FF99" s="74"/>
      <c r="FG99" s="74"/>
      <c r="FH99" s="74"/>
    </row>
    <row r="100" spans="1:164">
      <c r="A100" s="259"/>
      <c r="B100" s="264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66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264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66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66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264"/>
      <c r="DN100" s="264"/>
      <c r="DO100" s="264"/>
      <c r="DP100" s="264"/>
      <c r="DQ100" s="264"/>
      <c r="DR100" s="264"/>
      <c r="DS100" s="66"/>
      <c r="DT100" s="264"/>
      <c r="DU100" s="264"/>
      <c r="DV100" s="264"/>
      <c r="DW100" s="66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  <c r="EW100" s="74"/>
      <c r="EX100" s="74"/>
      <c r="EY100" s="74"/>
      <c r="EZ100" s="74"/>
      <c r="FA100" s="74"/>
      <c r="FB100" s="74"/>
      <c r="FC100" s="74"/>
      <c r="FD100" s="74"/>
      <c r="FE100" s="74"/>
      <c r="FF100" s="74"/>
      <c r="FG100" s="74"/>
      <c r="FH100" s="74"/>
    </row>
    <row r="101" spans="1:164" ht="15" customHeight="1">
      <c r="A101" s="254"/>
      <c r="B101" s="264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</row>
    <row r="102" spans="1:164">
      <c r="A102" s="258"/>
      <c r="B102" s="264" t="s">
        <v>271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264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</row>
    <row r="103" spans="1:164">
      <c r="A103" s="259"/>
      <c r="B103" s="264" t="s">
        <v>312</v>
      </c>
      <c r="C103" s="264"/>
      <c r="D103" s="264"/>
      <c r="E103" s="264"/>
      <c r="F103" s="66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66"/>
      <c r="S103" s="264"/>
      <c r="T103" s="264"/>
      <c r="U103" s="264"/>
      <c r="V103" s="264"/>
      <c r="W103" s="66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66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264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</row>
    <row r="104" spans="1:164" ht="15" customHeight="1">
      <c r="A104" s="254"/>
      <c r="B104" s="264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</row>
    <row r="105" spans="1:164">
      <c r="A105" s="258"/>
      <c r="B105" s="264" t="s">
        <v>271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66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  <c r="EW105" s="74"/>
      <c r="EX105" s="74"/>
      <c r="EY105" s="74"/>
      <c r="EZ105" s="74"/>
      <c r="FA105" s="74"/>
      <c r="FB105" s="74"/>
      <c r="FC105" s="74"/>
      <c r="FD105" s="74"/>
      <c r="FE105" s="74"/>
      <c r="FF105" s="74"/>
      <c r="FG105" s="74"/>
      <c r="FH105" s="74"/>
    </row>
    <row r="106" spans="1:164">
      <c r="A106" s="259"/>
      <c r="B106" s="264" t="s">
        <v>313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66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66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  <c r="EW106" s="74"/>
      <c r="EX106" s="74"/>
      <c r="EY106" s="74"/>
      <c r="EZ106" s="74"/>
      <c r="FA106" s="74"/>
      <c r="FB106" s="74"/>
      <c r="FC106" s="74"/>
      <c r="FD106" s="74"/>
      <c r="FE106" s="74"/>
      <c r="FF106" s="74"/>
      <c r="FG106" s="74"/>
      <c r="FH106" s="74"/>
    </row>
    <row r="107" spans="1:164" ht="15" customHeight="1">
      <c r="A107" s="254"/>
      <c r="B107" s="264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</row>
    <row r="108" spans="1:164">
      <c r="A108" s="258"/>
      <c r="B108" s="264" t="s">
        <v>553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  <c r="EW108" s="74"/>
      <c r="EX108" s="74"/>
      <c r="EY108" s="74"/>
      <c r="EZ108" s="74"/>
      <c r="FA108" s="74"/>
      <c r="FB108" s="74"/>
      <c r="FC108" s="74"/>
      <c r="FD108" s="74"/>
      <c r="FE108" s="74"/>
      <c r="FF108" s="74"/>
      <c r="FG108" s="74"/>
      <c r="FH108" s="74"/>
    </row>
    <row r="109" spans="1:164">
      <c r="A109" s="259"/>
      <c r="B109" s="264" t="s">
        <v>554</v>
      </c>
      <c r="C109" s="264"/>
      <c r="D109" s="264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66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66"/>
      <c r="BC109" s="264"/>
      <c r="BD109" s="264"/>
      <c r="BE109" s="66"/>
      <c r="BF109" s="264"/>
      <c r="BG109" s="264"/>
      <c r="BH109" s="264"/>
      <c r="BI109" s="264"/>
      <c r="BJ109" s="264"/>
      <c r="BK109" s="264"/>
      <c r="BL109" s="264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66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  <c r="EW109" s="74"/>
      <c r="EX109" s="74"/>
      <c r="EY109" s="74"/>
      <c r="EZ109" s="74"/>
      <c r="FA109" s="74"/>
      <c r="FB109" s="74"/>
      <c r="FC109" s="74"/>
      <c r="FD109" s="74"/>
      <c r="FE109" s="74"/>
      <c r="FF109" s="74"/>
      <c r="FG109" s="74"/>
      <c r="FH109" s="74"/>
    </row>
    <row r="110" spans="1:164" ht="15" customHeight="1">
      <c r="A110" s="254"/>
      <c r="B110" s="264" t="s">
        <v>570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  <c r="EW110" s="74"/>
      <c r="EX110" s="74"/>
      <c r="EY110" s="74"/>
      <c r="EZ110" s="74"/>
      <c r="FA110" s="74"/>
      <c r="FB110" s="74"/>
      <c r="FC110" s="74"/>
      <c r="FD110" s="74"/>
      <c r="FE110" s="74"/>
      <c r="FF110" s="74"/>
      <c r="FG110" s="74"/>
      <c r="FH110" s="74"/>
    </row>
    <row r="111" spans="1:164">
      <c r="A111" s="258"/>
      <c r="B111" s="264" t="s">
        <v>616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  <c r="EW111" s="74"/>
      <c r="EX111" s="74"/>
      <c r="EY111" s="74"/>
      <c r="EZ111" s="74"/>
      <c r="FA111" s="74"/>
      <c r="FB111" s="74"/>
      <c r="FC111" s="74"/>
      <c r="FD111" s="74"/>
      <c r="FE111" s="74"/>
      <c r="FF111" s="74"/>
      <c r="FG111" s="74"/>
      <c r="FH111" s="74"/>
    </row>
    <row r="112" spans="1:164">
      <c r="A112" s="259"/>
      <c r="B112" s="264" t="s">
        <v>617</v>
      </c>
      <c r="C112" s="264"/>
      <c r="D112" s="66"/>
      <c r="E112" s="264"/>
      <c r="F112" s="264"/>
      <c r="G112" s="264"/>
      <c r="H112" s="264"/>
      <c r="I112" s="264"/>
      <c r="J112" s="264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264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66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66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  <c r="EW112" s="74"/>
      <c r="EX112" s="74"/>
      <c r="EY112" s="74"/>
      <c r="EZ112" s="74"/>
      <c r="FA112" s="74"/>
      <c r="FB112" s="74"/>
      <c r="FC112" s="74"/>
      <c r="FD112" s="74"/>
      <c r="FE112" s="74"/>
      <c r="FF112" s="74"/>
      <c r="FG112" s="74"/>
      <c r="FH112" s="74"/>
    </row>
    <row r="113" spans="1:164" ht="15" customHeight="1">
      <c r="A113" s="254"/>
      <c r="B113" s="264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  <c r="EW113" s="74"/>
      <c r="EX113" s="74"/>
      <c r="EY113" s="74"/>
      <c r="EZ113" s="74"/>
      <c r="FA113" s="74"/>
      <c r="FB113" s="74"/>
      <c r="FC113" s="74"/>
      <c r="FD113" s="74"/>
      <c r="FE113" s="74"/>
      <c r="FF113" s="74"/>
      <c r="FG113" s="74"/>
      <c r="FH113" s="74"/>
    </row>
    <row r="114" spans="1:164">
      <c r="A114" s="258"/>
      <c r="B114" s="264" t="s">
        <v>271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  <c r="EW114" s="74"/>
      <c r="EX114" s="74"/>
      <c r="EY114" s="74"/>
      <c r="EZ114" s="74"/>
      <c r="FA114" s="74"/>
      <c r="FB114" s="74"/>
      <c r="FC114" s="74"/>
      <c r="FD114" s="74"/>
      <c r="FE114" s="74"/>
      <c r="FF114" s="74"/>
      <c r="FG114" s="74"/>
      <c r="FH114" s="74"/>
    </row>
    <row r="115" spans="1:164">
      <c r="A115" s="259"/>
      <c r="B115" s="264" t="s">
        <v>2</v>
      </c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66"/>
      <c r="X115" s="264"/>
      <c r="Y115" s="264"/>
      <c r="Z115" s="264"/>
      <c r="AA115" s="264"/>
      <c r="AB115" s="264"/>
      <c r="AC115" s="264"/>
      <c r="AD115" s="264"/>
      <c r="AE115" s="66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66"/>
      <c r="AZ115" s="66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  <c r="EW115" s="74"/>
      <c r="EX115" s="74"/>
      <c r="EY115" s="74"/>
      <c r="EZ115" s="74"/>
      <c r="FA115" s="74"/>
      <c r="FB115" s="74"/>
      <c r="FC115" s="74"/>
      <c r="FD115" s="74"/>
      <c r="FE115" s="74"/>
      <c r="FF115" s="74"/>
      <c r="FG115" s="74"/>
      <c r="FH115" s="74"/>
    </row>
    <row r="116" spans="1:164" ht="15" customHeight="1">
      <c r="A116" s="254"/>
      <c r="B116" s="264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  <c r="EW116" s="74"/>
      <c r="EX116" s="74"/>
      <c r="EY116" s="74"/>
      <c r="EZ116" s="74"/>
      <c r="FA116" s="74"/>
      <c r="FB116" s="74"/>
      <c r="FC116" s="74"/>
      <c r="FD116" s="74"/>
      <c r="FE116" s="74"/>
      <c r="FF116" s="74"/>
      <c r="FG116" s="74"/>
      <c r="FH116" s="74"/>
    </row>
    <row r="117" spans="1:164" ht="15" customHeight="1">
      <c r="A117" s="255"/>
      <c r="B117" s="264" t="s">
        <v>557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66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  <c r="EW117" s="74"/>
      <c r="EX117" s="74"/>
      <c r="EY117" s="74"/>
      <c r="EZ117" s="74"/>
      <c r="FA117" s="74"/>
      <c r="FB117" s="74"/>
      <c r="FC117" s="74"/>
      <c r="FD117" s="74"/>
      <c r="FE117" s="74"/>
      <c r="FF117" s="74"/>
      <c r="FG117" s="74"/>
      <c r="FH117" s="74"/>
    </row>
    <row r="118" spans="1:164">
      <c r="A118" s="256"/>
      <c r="B118" s="264" t="s">
        <v>537</v>
      </c>
      <c r="C118" s="264"/>
      <c r="D118" s="66"/>
      <c r="E118" s="264"/>
      <c r="F118" s="66"/>
      <c r="G118" s="264"/>
      <c r="H118" s="264"/>
      <c r="I118" s="264"/>
      <c r="J118" s="264"/>
      <c r="K118" s="264"/>
      <c r="L118" s="264"/>
      <c r="M118" s="264"/>
      <c r="N118" s="264"/>
      <c r="O118" s="264"/>
      <c r="P118" s="66"/>
      <c r="Q118" s="264"/>
      <c r="R118" s="264"/>
      <c r="S118" s="264"/>
      <c r="T118" s="264"/>
      <c r="U118" s="264"/>
      <c r="V118" s="264"/>
      <c r="W118" s="66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66"/>
      <c r="AV118" s="264"/>
      <c r="AW118" s="264"/>
      <c r="AX118" s="264"/>
      <c r="AY118" s="66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</row>
    <row r="119" spans="1:164">
      <c r="A119" s="256"/>
      <c r="B119" s="264" t="s">
        <v>570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</row>
    <row r="120" spans="1:164">
      <c r="A120" s="256"/>
      <c r="B120" s="264" t="s">
        <v>618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  <c r="EW120" s="74"/>
      <c r="EX120" s="74"/>
      <c r="EY120" s="74"/>
      <c r="EZ120" s="74"/>
      <c r="FA120" s="74"/>
      <c r="FB120" s="74"/>
      <c r="FC120" s="74"/>
      <c r="FD120" s="74"/>
      <c r="FE120" s="74"/>
      <c r="FF120" s="74"/>
      <c r="FG120" s="74"/>
      <c r="FH120" s="74"/>
    </row>
    <row r="121" spans="1:164">
      <c r="A121" s="257"/>
      <c r="B121" s="264" t="s">
        <v>609</v>
      </c>
      <c r="C121" s="264"/>
      <c r="D121" s="264"/>
      <c r="E121" s="264"/>
      <c r="F121" s="264"/>
      <c r="G121" s="264"/>
      <c r="H121" s="66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66"/>
      <c r="BG121" s="264"/>
      <c r="BH121" s="66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  <c r="EW121" s="74"/>
      <c r="EX121" s="74"/>
      <c r="EY121" s="74"/>
      <c r="EZ121" s="74"/>
      <c r="FA121" s="74"/>
      <c r="FB121" s="74"/>
      <c r="FC121" s="74"/>
      <c r="FD121" s="74"/>
      <c r="FE121" s="74"/>
      <c r="FF121" s="74"/>
      <c r="FG121" s="74"/>
      <c r="FH121" s="74"/>
    </row>
    <row r="122" spans="1:164">
      <c r="A122" s="160"/>
      <c r="B122" s="264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  <c r="EW122" s="74"/>
      <c r="EX122" s="74"/>
      <c r="EY122" s="74"/>
      <c r="EZ122" s="74"/>
      <c r="FA122" s="74"/>
      <c r="FB122" s="74"/>
      <c r="FC122" s="74"/>
      <c r="FD122" s="74"/>
      <c r="FE122" s="74"/>
      <c r="FF122" s="74"/>
      <c r="FG122" s="74"/>
      <c r="FH122" s="74"/>
    </row>
    <row r="123" spans="1:164">
      <c r="A123" s="160"/>
      <c r="B123" s="264" t="s">
        <v>647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66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  <c r="EW123" s="74"/>
      <c r="EX123" s="74"/>
      <c r="EY123" s="74"/>
      <c r="EZ123" s="74"/>
      <c r="FA123" s="74"/>
      <c r="FB123" s="74"/>
      <c r="FC123" s="74"/>
      <c r="FD123" s="74"/>
      <c r="FE123" s="74"/>
      <c r="FF123" s="74"/>
      <c r="FG123" s="74"/>
      <c r="FH123" s="74"/>
    </row>
    <row r="124" spans="1:164">
      <c r="A124" s="160"/>
      <c r="B124" s="264" t="s">
        <v>559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66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66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  <c r="EW124" s="74"/>
      <c r="EX124" s="74"/>
      <c r="EY124" s="74"/>
      <c r="EZ124" s="74"/>
      <c r="FA124" s="74"/>
      <c r="FB124" s="74"/>
      <c r="FC124" s="74"/>
      <c r="FD124" s="74"/>
      <c r="FE124" s="74"/>
      <c r="FF124" s="74"/>
      <c r="FG124" s="74"/>
      <c r="FH124" s="74"/>
    </row>
    <row r="125" spans="1:164">
      <c r="A125" s="160"/>
      <c r="B125" s="264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  <c r="EW125" s="74"/>
      <c r="EX125" s="74"/>
      <c r="EY125" s="74"/>
      <c r="EZ125" s="74"/>
      <c r="FA125" s="74"/>
      <c r="FB125" s="74"/>
      <c r="FC125" s="74"/>
      <c r="FD125" s="74"/>
      <c r="FE125" s="74"/>
      <c r="FF125" s="74"/>
      <c r="FG125" s="74"/>
      <c r="FH125" s="74"/>
    </row>
    <row r="126" spans="1:164">
      <c r="A126" s="160"/>
      <c r="B126" s="264" t="s">
        <v>560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</row>
    <row r="127" spans="1:164">
      <c r="A127" s="160"/>
      <c r="B127" s="264" t="s">
        <v>537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66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66"/>
      <c r="BA127" s="264"/>
      <c r="BB127" s="264"/>
      <c r="BC127" s="264"/>
      <c r="BD127" s="264"/>
      <c r="BE127" s="264"/>
      <c r="BF127" s="264"/>
      <c r="BG127" s="264"/>
      <c r="BH127" s="66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</row>
    <row r="128" spans="1:164">
      <c r="A128" s="160"/>
      <c r="B128" s="264" t="s">
        <v>570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</row>
    <row r="129" spans="1:164">
      <c r="A129" s="160"/>
      <c r="B129" s="264" t="s">
        <v>619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</row>
    <row r="130" spans="1:164">
      <c r="A130" s="160"/>
      <c r="B130" s="264" t="s">
        <v>620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66"/>
      <c r="AP130" s="66"/>
      <c r="AQ130" s="264"/>
      <c r="AR130" s="264"/>
      <c r="AS130" s="264"/>
      <c r="AT130" s="66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264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</row>
    <row r="131" spans="1:164">
      <c r="A131" s="160"/>
      <c r="B131" s="264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</row>
    <row r="132" spans="1:164">
      <c r="A132" s="160"/>
      <c r="B132" s="264" t="s">
        <v>314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</row>
    <row r="133" spans="1:164">
      <c r="A133" s="160"/>
      <c r="B133" s="264" t="s">
        <v>315</v>
      </c>
      <c r="C133" s="264"/>
      <c r="D133" s="66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66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66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264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264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</row>
    <row r="134" spans="1:164">
      <c r="A134" s="160"/>
      <c r="B134" s="264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</row>
    <row r="135" spans="1:164">
      <c r="A135" s="160"/>
      <c r="B135" s="264" t="s">
        <v>563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264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66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  <c r="EW135" s="74"/>
      <c r="EX135" s="74"/>
      <c r="EY135" s="74"/>
      <c r="EZ135" s="74"/>
      <c r="FA135" s="74"/>
      <c r="FB135" s="74"/>
      <c r="FC135" s="74"/>
      <c r="FD135" s="74"/>
      <c r="FE135" s="74"/>
      <c r="FF135" s="74"/>
      <c r="FG135" s="74"/>
      <c r="FH135" s="74"/>
    </row>
    <row r="136" spans="1:164">
      <c r="A136" s="160"/>
      <c r="B136" s="264" t="s">
        <v>564</v>
      </c>
      <c r="C136" s="264"/>
      <c r="D136" s="66"/>
      <c r="E136" s="264"/>
      <c r="F136" s="264"/>
      <c r="G136" s="264"/>
      <c r="H136" s="264"/>
      <c r="I136" s="264"/>
      <c r="J136" s="66"/>
      <c r="K136" s="264"/>
      <c r="L136" s="264"/>
      <c r="M136" s="264"/>
      <c r="N136" s="264"/>
      <c r="O136" s="264"/>
      <c r="P136" s="66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66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264"/>
      <c r="BC136" s="264"/>
      <c r="BD136" s="264"/>
      <c r="BE136" s="264"/>
      <c r="BF136" s="264"/>
      <c r="BG136" s="264"/>
      <c r="BH136" s="66"/>
      <c r="BI136" s="264"/>
      <c r="BJ136" s="264"/>
      <c r="BK136" s="66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  <c r="EW136" s="74"/>
      <c r="EX136" s="74"/>
      <c r="EY136" s="74"/>
      <c r="EZ136" s="74"/>
      <c r="FA136" s="74"/>
      <c r="FB136" s="74"/>
      <c r="FC136" s="74"/>
      <c r="FD136" s="74"/>
      <c r="FE136" s="74"/>
      <c r="FF136" s="74"/>
      <c r="FG136" s="74"/>
      <c r="FH136" s="74"/>
    </row>
    <row r="137" spans="1:164">
      <c r="A137" s="160"/>
      <c r="B137" s="264" t="s">
        <v>570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</row>
    <row r="138" spans="1:164">
      <c r="A138" s="160"/>
      <c r="B138" s="264" t="s">
        <v>621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</row>
    <row r="139" spans="1:164">
      <c r="A139" s="160"/>
      <c r="B139" s="264" t="s">
        <v>622</v>
      </c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66"/>
      <c r="AB139" s="264"/>
      <c r="AC139" s="264"/>
      <c r="AD139" s="264"/>
      <c r="AE139" s="66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66"/>
      <c r="AQ139" s="264"/>
      <c r="AR139" s="264"/>
      <c r="AS139" s="264"/>
      <c r="AT139" s="66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</row>
    <row r="140" spans="1:164">
      <c r="A140" s="160"/>
      <c r="B140" s="264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</row>
    <row r="141" spans="1:164">
      <c r="A141" s="160"/>
      <c r="B141" s="264" t="s">
        <v>316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66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</row>
    <row r="142" spans="1:164">
      <c r="A142" s="160"/>
      <c r="B142" s="264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66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66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</row>
    <row r="143" spans="1:164">
      <c r="A143" s="160"/>
      <c r="B143" s="264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</row>
    <row r="144" spans="1:164">
      <c r="A144" s="160"/>
      <c r="B144" s="264" t="s">
        <v>648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66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</row>
    <row r="145" spans="1:164">
      <c r="A145" s="160"/>
      <c r="B145" s="264" t="s">
        <v>567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</row>
    <row r="146" spans="1:164">
      <c r="A146" s="160"/>
      <c r="B146" s="264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  <c r="EW146" s="74"/>
      <c r="EX146" s="74"/>
      <c r="EY146" s="74"/>
      <c r="EZ146" s="74"/>
      <c r="FA146" s="74"/>
      <c r="FB146" s="74"/>
      <c r="FC146" s="74"/>
      <c r="FD146" s="74"/>
      <c r="FE146" s="74"/>
      <c r="FF146" s="74"/>
      <c r="FG146" s="74"/>
      <c r="FH146" s="74"/>
    </row>
    <row r="147" spans="1:164">
      <c r="A147" s="160"/>
      <c r="B147" s="264" t="s">
        <v>271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  <c r="EW147" s="74"/>
      <c r="EX147" s="74"/>
      <c r="EY147" s="74"/>
      <c r="EZ147" s="74"/>
      <c r="FA147" s="74"/>
      <c r="FB147" s="74"/>
      <c r="FC147" s="74"/>
      <c r="FD147" s="74"/>
      <c r="FE147" s="74"/>
      <c r="FF147" s="74"/>
      <c r="FG147" s="74"/>
      <c r="FH147" s="74"/>
    </row>
    <row r="148" spans="1:164">
      <c r="A148" s="160"/>
      <c r="B148" s="264" t="s">
        <v>317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66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66"/>
      <c r="AX148" s="264"/>
      <c r="AY148" s="264"/>
      <c r="AZ148" s="264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  <c r="EW148" s="74"/>
      <c r="EX148" s="74"/>
      <c r="EY148" s="74"/>
      <c r="EZ148" s="74"/>
      <c r="FA148" s="74"/>
      <c r="FB148" s="74"/>
      <c r="FC148" s="74"/>
      <c r="FD148" s="74"/>
      <c r="FE148" s="74"/>
      <c r="FF148" s="74"/>
      <c r="FG148" s="74"/>
      <c r="FH148" s="74"/>
    </row>
    <row r="149" spans="1:164">
      <c r="A149" s="160"/>
      <c r="B149" s="264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  <c r="EW149" s="74"/>
      <c r="EX149" s="74"/>
      <c r="EY149" s="74"/>
      <c r="EZ149" s="74"/>
      <c r="FA149" s="74"/>
      <c r="FB149" s="74"/>
      <c r="FC149" s="74"/>
      <c r="FD149" s="74"/>
      <c r="FE149" s="74"/>
      <c r="FF149" s="74"/>
      <c r="FG149" s="74"/>
      <c r="FH149" s="74"/>
    </row>
    <row r="150" spans="1:164">
      <c r="A150" s="160"/>
      <c r="B150" s="264" t="s">
        <v>280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264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  <c r="EW150" s="74"/>
      <c r="EX150" s="74"/>
      <c r="EY150" s="74"/>
      <c r="EZ150" s="74"/>
      <c r="FA150" s="74"/>
      <c r="FB150" s="74"/>
      <c r="FC150" s="74"/>
      <c r="FD150" s="74"/>
      <c r="FE150" s="74"/>
      <c r="FF150" s="74"/>
      <c r="FG150" s="74"/>
      <c r="FH150" s="74"/>
    </row>
    <row r="151" spans="1:164">
      <c r="A151" s="160"/>
      <c r="B151" s="264" t="s">
        <v>318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66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264"/>
      <c r="AZ151" s="264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264"/>
      <c r="DT151" s="264"/>
      <c r="DU151" s="66"/>
      <c r="DV151" s="264"/>
      <c r="DW151" s="264"/>
      <c r="DX151" s="264"/>
      <c r="DY151" s="66"/>
      <c r="DZ151" s="264"/>
      <c r="EA151" s="66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  <c r="EW151" s="74"/>
      <c r="EX151" s="74"/>
      <c r="EY151" s="74"/>
      <c r="EZ151" s="74"/>
      <c r="FA151" s="74"/>
      <c r="FB151" s="74"/>
      <c r="FC151" s="74"/>
      <c r="FD151" s="74"/>
      <c r="FE151" s="74"/>
      <c r="FF151" s="74"/>
      <c r="FG151" s="74"/>
      <c r="FH151" s="74"/>
    </row>
    <row r="152" spans="1:164">
      <c r="A152" s="160"/>
      <c r="B152" s="264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  <c r="EW152" s="74"/>
      <c r="EX152" s="74"/>
      <c r="EY152" s="74"/>
      <c r="EZ152" s="74"/>
      <c r="FA152" s="74"/>
      <c r="FB152" s="74"/>
      <c r="FC152" s="74"/>
      <c r="FD152" s="74"/>
      <c r="FE152" s="74"/>
      <c r="FF152" s="74"/>
      <c r="FG152" s="74"/>
      <c r="FH152" s="74"/>
    </row>
    <row r="153" spans="1:164">
      <c r="A153" s="160"/>
      <c r="B153" s="264" t="s">
        <v>322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</row>
    <row r="154" spans="1:164">
      <c r="A154" s="160"/>
      <c r="B154" s="264" t="s">
        <v>478</v>
      </c>
      <c r="C154" s="264"/>
      <c r="D154" s="264"/>
      <c r="E154" s="264"/>
      <c r="F154" s="264"/>
      <c r="G154" s="264"/>
      <c r="H154" s="264"/>
      <c r="I154" s="264"/>
      <c r="J154" s="264"/>
      <c r="K154" s="264"/>
      <c r="L154" s="264"/>
      <c r="M154" s="264"/>
      <c r="N154" s="264"/>
      <c r="O154" s="264"/>
      <c r="P154" s="264"/>
      <c r="Q154" s="264"/>
      <c r="R154" s="66"/>
      <c r="S154" s="264"/>
      <c r="T154" s="264"/>
      <c r="U154" s="264"/>
      <c r="V154" s="264"/>
      <c r="W154" s="66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66"/>
      <c r="AP154" s="66"/>
      <c r="AQ154" s="264"/>
      <c r="AR154" s="264"/>
      <c r="AS154" s="264"/>
      <c r="AT154" s="66"/>
      <c r="AU154" s="66"/>
      <c r="AV154" s="264"/>
      <c r="AW154" s="264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</row>
    <row r="155" spans="1:164">
      <c r="A155" s="160"/>
      <c r="B155" s="264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  <c r="EW155" s="74"/>
      <c r="EX155" s="74"/>
      <c r="EY155" s="74"/>
      <c r="EZ155" s="74"/>
      <c r="FA155" s="74"/>
      <c r="FB155" s="74"/>
      <c r="FC155" s="74"/>
      <c r="FD155" s="74"/>
      <c r="FE155" s="74"/>
      <c r="FF155" s="74"/>
      <c r="FG155" s="74"/>
      <c r="FH155" s="74"/>
    </row>
    <row r="156" spans="1:164">
      <c r="A156" s="160"/>
      <c r="B156" s="264" t="s">
        <v>271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264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  <c r="EW156" s="74"/>
      <c r="EX156" s="74"/>
      <c r="EY156" s="74"/>
      <c r="EZ156" s="74"/>
      <c r="FA156" s="74"/>
      <c r="FB156" s="74"/>
      <c r="FC156" s="74"/>
      <c r="FD156" s="74"/>
      <c r="FE156" s="74"/>
      <c r="FF156" s="74"/>
      <c r="FG156" s="74"/>
      <c r="FH156" s="74"/>
    </row>
    <row r="157" spans="1:164">
      <c r="A157" s="160"/>
      <c r="B157" s="264" t="s">
        <v>319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</row>
    <row r="158" spans="1:164">
      <c r="A158" s="160"/>
      <c r="B158" s="264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</row>
    <row r="159" spans="1:164">
      <c r="A159" s="160"/>
      <c r="B159" s="264" t="s">
        <v>271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264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  <c r="EW159" s="74"/>
      <c r="EX159" s="74"/>
      <c r="EY159" s="74"/>
      <c r="EZ159" s="74"/>
      <c r="FA159" s="74"/>
      <c r="FB159" s="74"/>
      <c r="FC159" s="74"/>
      <c r="FD159" s="74"/>
      <c r="FE159" s="74"/>
      <c r="FF159" s="74"/>
      <c r="FG159" s="74"/>
      <c r="FH159" s="74"/>
    </row>
    <row r="160" spans="1:164">
      <c r="A160" s="160"/>
      <c r="B160" s="264" t="s">
        <v>320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66"/>
      <c r="M160" s="264"/>
      <c r="N160" s="264"/>
      <c r="O160" s="264"/>
      <c r="P160" s="264"/>
      <c r="Q160" s="264"/>
      <c r="R160" s="264"/>
      <c r="S160" s="264"/>
      <c r="T160" s="264"/>
      <c r="U160" s="264"/>
      <c r="V160" s="264"/>
      <c r="W160" s="66"/>
      <c r="X160" s="264"/>
      <c r="Y160" s="264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264"/>
      <c r="BA160" s="264"/>
      <c r="BB160" s="66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  <c r="EW160" s="74"/>
      <c r="EX160" s="74"/>
      <c r="EY160" s="74"/>
      <c r="EZ160" s="74"/>
      <c r="FA160" s="74"/>
      <c r="FB160" s="74"/>
      <c r="FC160" s="74"/>
      <c r="FD160" s="74"/>
      <c r="FE160" s="74"/>
      <c r="FF160" s="74"/>
      <c r="FG160" s="74"/>
      <c r="FH160" s="74"/>
    </row>
    <row r="161" spans="1:164">
      <c r="A161" s="160"/>
      <c r="B161" s="264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  <c r="EW161" s="74"/>
      <c r="EX161" s="74"/>
      <c r="EY161" s="74"/>
      <c r="EZ161" s="74"/>
      <c r="FA161" s="74"/>
      <c r="FB161" s="74"/>
      <c r="FC161" s="74"/>
      <c r="FD161" s="74"/>
      <c r="FE161" s="74"/>
      <c r="FF161" s="74"/>
      <c r="FG161" s="74"/>
      <c r="FH161" s="74"/>
    </row>
    <row r="162" spans="1:164">
      <c r="A162" s="160"/>
      <c r="B162" s="264" t="s">
        <v>568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  <c r="EW162" s="74"/>
      <c r="EX162" s="74"/>
      <c r="EY162" s="74"/>
      <c r="EZ162" s="74"/>
      <c r="FA162" s="74"/>
      <c r="FB162" s="74"/>
      <c r="FC162" s="74"/>
      <c r="FD162" s="74"/>
      <c r="FE162" s="74"/>
      <c r="FF162" s="74"/>
      <c r="FG162" s="74"/>
      <c r="FH162" s="74"/>
    </row>
    <row r="163" spans="1:164">
      <c r="A163" s="160"/>
      <c r="B163" s="264" t="s">
        <v>569</v>
      </c>
      <c r="C163" s="264"/>
      <c r="D163" s="264"/>
      <c r="E163" s="264"/>
      <c r="F163" s="264"/>
      <c r="G163" s="264"/>
      <c r="H163" s="66"/>
      <c r="I163" s="264"/>
      <c r="J163" s="66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66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  <c r="EW163" s="74"/>
      <c r="EX163" s="74"/>
      <c r="EY163" s="74"/>
      <c r="EZ163" s="74"/>
      <c r="FA163" s="74"/>
      <c r="FB163" s="74"/>
      <c r="FC163" s="74"/>
      <c r="FD163" s="74"/>
      <c r="FE163" s="74"/>
      <c r="FF163" s="74"/>
      <c r="FG163" s="74"/>
      <c r="FH163" s="74"/>
    </row>
    <row r="164" spans="1:164">
      <c r="A164" s="160"/>
      <c r="B164" s="264" t="s">
        <v>570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  <c r="EW164" s="74"/>
      <c r="EX164" s="74"/>
      <c r="EY164" s="74"/>
      <c r="EZ164" s="74"/>
      <c r="FA164" s="74"/>
      <c r="FB164" s="74"/>
      <c r="FC164" s="74"/>
      <c r="FD164" s="74"/>
      <c r="FE164" s="74"/>
      <c r="FF164" s="74"/>
      <c r="FG164" s="74"/>
      <c r="FH164" s="74"/>
    </row>
    <row r="165" spans="1:164">
      <c r="A165" s="160"/>
      <c r="B165" s="264" t="s">
        <v>571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  <c r="EW165" s="74"/>
      <c r="EX165" s="74"/>
      <c r="EY165" s="74"/>
      <c r="EZ165" s="74"/>
      <c r="FA165" s="74"/>
      <c r="FB165" s="74"/>
      <c r="FC165" s="74"/>
      <c r="FD165" s="74"/>
      <c r="FE165" s="74"/>
      <c r="FF165" s="74"/>
      <c r="FG165" s="74"/>
      <c r="FH165" s="74"/>
    </row>
    <row r="166" spans="1:164">
      <c r="A166" s="160"/>
      <c r="B166" s="264" t="s">
        <v>623</v>
      </c>
      <c r="C166" s="264"/>
      <c r="D166" s="264"/>
      <c r="E166" s="264"/>
      <c r="F166" s="66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66"/>
      <c r="Z166" s="264"/>
      <c r="AA166" s="264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66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  <c r="EW166" s="74"/>
      <c r="EX166" s="74"/>
      <c r="EY166" s="74"/>
      <c r="EZ166" s="74"/>
      <c r="FA166" s="74"/>
      <c r="FB166" s="74"/>
      <c r="FC166" s="74"/>
      <c r="FD166" s="74"/>
      <c r="FE166" s="74"/>
      <c r="FF166" s="74"/>
      <c r="FG166" s="74"/>
      <c r="FH166" s="74"/>
    </row>
    <row r="167" spans="1:164">
      <c r="A167" s="160"/>
      <c r="B167" s="264" t="s">
        <v>570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  <c r="EW167" s="74"/>
      <c r="EX167" s="74"/>
      <c r="EY167" s="74"/>
      <c r="EZ167" s="74"/>
      <c r="FA167" s="74"/>
      <c r="FB167" s="74"/>
      <c r="FC167" s="74"/>
      <c r="FD167" s="74"/>
      <c r="FE167" s="74"/>
      <c r="FF167" s="74"/>
      <c r="FG167" s="74"/>
      <c r="FH167" s="74"/>
    </row>
    <row r="168" spans="1:164">
      <c r="A168" s="160"/>
      <c r="B168" s="264" t="s">
        <v>624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264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  <c r="EW168" s="74"/>
      <c r="EX168" s="74"/>
      <c r="EY168" s="74"/>
      <c r="EZ168" s="74"/>
      <c r="FA168" s="74"/>
      <c r="FB168" s="74"/>
      <c r="FC168" s="74"/>
      <c r="FD168" s="74"/>
      <c r="FE168" s="74"/>
      <c r="FF168" s="74"/>
      <c r="FG168" s="74"/>
      <c r="FH168" s="74"/>
    </row>
    <row r="169" spans="1:164">
      <c r="A169" s="160"/>
      <c r="B169" s="264" t="s">
        <v>574</v>
      </c>
      <c r="C169" s="264"/>
      <c r="D169" s="264"/>
      <c r="E169" s="264"/>
      <c r="F169" s="66"/>
      <c r="G169" s="264"/>
      <c r="H169" s="264"/>
      <c r="I169" s="264"/>
      <c r="J169" s="264"/>
      <c r="K169" s="264"/>
      <c r="L169" s="264"/>
      <c r="M169" s="264"/>
      <c r="N169" s="264"/>
      <c r="O169" s="264"/>
      <c r="P169" s="66"/>
      <c r="Q169" s="264"/>
      <c r="R169" s="264"/>
      <c r="S169" s="264"/>
      <c r="T169" s="264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66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  <c r="EW169" s="74"/>
      <c r="EX169" s="74"/>
      <c r="EY169" s="74"/>
      <c r="EZ169" s="74"/>
      <c r="FA169" s="74"/>
      <c r="FB169" s="74"/>
      <c r="FC169" s="74"/>
      <c r="FD169" s="74"/>
      <c r="FE169" s="74"/>
      <c r="FF169" s="74"/>
      <c r="FG169" s="74"/>
      <c r="FH169" s="74"/>
    </row>
    <row r="170" spans="1:164">
      <c r="A170" s="160"/>
      <c r="B170" s="264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  <c r="EW170" s="74"/>
      <c r="EX170" s="74"/>
      <c r="EY170" s="74"/>
      <c r="EZ170" s="74"/>
      <c r="FA170" s="74"/>
      <c r="FB170" s="74"/>
      <c r="FC170" s="74"/>
      <c r="FD170" s="74"/>
      <c r="FE170" s="74"/>
      <c r="FF170" s="74"/>
      <c r="FG170" s="74"/>
      <c r="FH170" s="74"/>
    </row>
    <row r="171" spans="1:164">
      <c r="A171" s="160"/>
      <c r="B171" s="264" t="s">
        <v>648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66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  <c r="EW171" s="74"/>
      <c r="EX171" s="74"/>
      <c r="EY171" s="74"/>
      <c r="EZ171" s="74"/>
      <c r="FA171" s="74"/>
      <c r="FB171" s="74"/>
      <c r="FC171" s="74"/>
      <c r="FD171" s="74"/>
      <c r="FE171" s="74"/>
      <c r="FF171" s="74"/>
      <c r="FG171" s="74"/>
      <c r="FH171" s="74"/>
    </row>
    <row r="172" spans="1:164">
      <c r="A172" s="160"/>
      <c r="B172" s="264" t="s">
        <v>575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264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66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66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  <c r="EW172" s="74"/>
      <c r="EX172" s="74"/>
      <c r="EY172" s="74"/>
      <c r="EZ172" s="74"/>
      <c r="FA172" s="74"/>
      <c r="FB172" s="74"/>
      <c r="FC172" s="74"/>
      <c r="FD172" s="74"/>
      <c r="FE172" s="74"/>
      <c r="FF172" s="74"/>
      <c r="FG172" s="74"/>
      <c r="FH172" s="74"/>
    </row>
    <row r="173" spans="1:164">
      <c r="A173" s="160"/>
      <c r="B173" s="264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  <c r="EW173" s="74"/>
      <c r="EX173" s="74"/>
      <c r="EY173" s="74"/>
      <c r="EZ173" s="74"/>
      <c r="FA173" s="74"/>
      <c r="FB173" s="74"/>
      <c r="FC173" s="74"/>
      <c r="FD173" s="74"/>
      <c r="FE173" s="74"/>
      <c r="FF173" s="74"/>
      <c r="FG173" s="74"/>
      <c r="FH173" s="74"/>
    </row>
    <row r="174" spans="1:164">
      <c r="A174" s="160"/>
      <c r="B174" s="264" t="s">
        <v>321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66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</row>
    <row r="175" spans="1:164">
      <c r="A175" s="160"/>
      <c r="B175" s="264" t="s">
        <v>4</v>
      </c>
      <c r="C175" s="264"/>
      <c r="D175" s="66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66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66"/>
      <c r="AS175" s="264"/>
      <c r="AT175" s="264"/>
      <c r="AU175" s="66"/>
      <c r="AV175" s="264"/>
      <c r="AW175" s="66"/>
      <c r="AX175" s="264"/>
      <c r="AY175" s="264"/>
      <c r="AZ175" s="264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66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264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</row>
    <row r="176" spans="1:164">
      <c r="A176" s="160"/>
      <c r="B176" s="264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  <c r="EW176" s="74"/>
      <c r="EX176" s="74"/>
      <c r="EY176" s="74"/>
      <c r="EZ176" s="74"/>
      <c r="FA176" s="74"/>
      <c r="FB176" s="74"/>
      <c r="FC176" s="74"/>
      <c r="FD176" s="74"/>
      <c r="FE176" s="74"/>
      <c r="FF176" s="74"/>
      <c r="FG176" s="74"/>
      <c r="FH176" s="74"/>
    </row>
    <row r="177" spans="1:164">
      <c r="A177" s="160"/>
      <c r="B177" s="264" t="s">
        <v>648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264"/>
      <c r="AQ177" s="264"/>
      <c r="AR177" s="264"/>
      <c r="AS177" s="264"/>
      <c r="AT177" s="264"/>
      <c r="AU177" s="264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  <c r="EW177" s="74"/>
      <c r="EX177" s="74"/>
      <c r="EY177" s="74"/>
      <c r="EZ177" s="74"/>
      <c r="FA177" s="74"/>
      <c r="FB177" s="74"/>
      <c r="FC177" s="74"/>
      <c r="FD177" s="74"/>
      <c r="FE177" s="74"/>
      <c r="FF177" s="74"/>
      <c r="FG177" s="74"/>
      <c r="FH177" s="74"/>
    </row>
    <row r="178" spans="1:164">
      <c r="A178" s="160"/>
      <c r="B178" s="264" t="s">
        <v>5</v>
      </c>
      <c r="C178" s="264"/>
      <c r="D178" s="264"/>
      <c r="E178" s="264"/>
      <c r="F178" s="66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264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</row>
    <row r="179" spans="1:164">
      <c r="A179" s="160"/>
      <c r="B179" s="264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</row>
    <row r="180" spans="1:164">
      <c r="A180" s="160"/>
      <c r="B180" s="264" t="s">
        <v>321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264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  <c r="EW180" s="74"/>
      <c r="EX180" s="74"/>
      <c r="EY180" s="74"/>
      <c r="EZ180" s="74"/>
      <c r="FA180" s="74"/>
      <c r="FB180" s="74"/>
      <c r="FC180" s="74"/>
      <c r="FD180" s="74"/>
      <c r="FE180" s="74"/>
      <c r="FF180" s="74"/>
      <c r="FG180" s="74"/>
      <c r="FH180" s="74"/>
    </row>
    <row r="181" spans="1:164">
      <c r="A181" s="160"/>
      <c r="B181" s="264" t="s">
        <v>323</v>
      </c>
      <c r="C181" s="264"/>
      <c r="D181" s="264"/>
      <c r="E181" s="264"/>
      <c r="F181" s="264"/>
      <c r="G181" s="264"/>
      <c r="H181" s="264"/>
      <c r="I181" s="264"/>
      <c r="J181" s="66"/>
      <c r="K181" s="264"/>
      <c r="L181" s="264"/>
      <c r="M181" s="264"/>
      <c r="N181" s="264"/>
      <c r="O181" s="264"/>
      <c r="P181" s="264"/>
      <c r="Q181" s="264"/>
      <c r="R181" s="66"/>
      <c r="S181" s="264"/>
      <c r="T181" s="66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66"/>
      <c r="AS181" s="264"/>
      <c r="AT181" s="264"/>
      <c r="AU181" s="66"/>
      <c r="AV181" s="264"/>
      <c r="AW181" s="264"/>
      <c r="AX181" s="264"/>
      <c r="AY181" s="264"/>
      <c r="AZ181" s="66"/>
      <c r="BA181" s="264"/>
      <c r="BB181" s="66"/>
      <c r="BC181" s="264"/>
      <c r="BD181" s="264"/>
      <c r="BE181" s="264"/>
      <c r="BF181" s="264"/>
      <c r="BG181" s="264"/>
      <c r="BH181" s="264"/>
      <c r="BI181" s="264"/>
      <c r="BJ181" s="264"/>
      <c r="BK181" s="66"/>
      <c r="BL181" s="264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66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  <c r="EW181" s="74"/>
      <c r="EX181" s="74"/>
      <c r="EY181" s="74"/>
      <c r="EZ181" s="74"/>
      <c r="FA181" s="74"/>
      <c r="FB181" s="74"/>
      <c r="FC181" s="74"/>
      <c r="FD181" s="74"/>
      <c r="FE181" s="74"/>
      <c r="FF181" s="74"/>
      <c r="FG181" s="74"/>
      <c r="FH181" s="74"/>
    </row>
    <row r="182" spans="1:164">
      <c r="A182" s="160"/>
      <c r="B182" s="264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  <c r="EW182" s="74"/>
      <c r="EX182" s="74"/>
      <c r="EY182" s="74"/>
      <c r="EZ182" s="74"/>
      <c r="FA182" s="74"/>
      <c r="FB182" s="74"/>
      <c r="FC182" s="74"/>
      <c r="FD182" s="74"/>
      <c r="FE182" s="74"/>
      <c r="FF182" s="74"/>
      <c r="FG182" s="74"/>
      <c r="FH182" s="74"/>
    </row>
    <row r="183" spans="1:164">
      <c r="A183" s="160"/>
      <c r="B183" s="264" t="s">
        <v>648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  <c r="EW183" s="74"/>
      <c r="EX183" s="74"/>
      <c r="EY183" s="74"/>
      <c r="EZ183" s="74"/>
      <c r="FA183" s="74"/>
      <c r="FB183" s="74"/>
      <c r="FC183" s="74"/>
      <c r="FD183" s="74"/>
      <c r="FE183" s="74"/>
      <c r="FF183" s="74"/>
      <c r="FG183" s="74"/>
      <c r="FH183" s="74"/>
    </row>
    <row r="184" spans="1:164">
      <c r="A184" s="160"/>
      <c r="B184" s="264" t="s">
        <v>6</v>
      </c>
      <c r="C184" s="264"/>
      <c r="D184" s="264"/>
      <c r="E184" s="264"/>
      <c r="F184" s="264"/>
      <c r="G184" s="264"/>
      <c r="H184" s="66"/>
      <c r="I184" s="264"/>
      <c r="J184" s="66"/>
      <c r="K184" s="264"/>
      <c r="L184" s="264"/>
      <c r="M184" s="264"/>
      <c r="N184" s="264"/>
      <c r="O184" s="264"/>
      <c r="P184" s="66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66"/>
      <c r="AB184" s="264"/>
      <c r="AC184" s="264"/>
      <c r="AD184" s="264"/>
      <c r="AE184" s="66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  <c r="EW184" s="74"/>
      <c r="EX184" s="74"/>
      <c r="EY184" s="74"/>
      <c r="EZ184" s="74"/>
      <c r="FA184" s="74"/>
      <c r="FB184" s="74"/>
      <c r="FC184" s="74"/>
      <c r="FD184" s="74"/>
      <c r="FE184" s="74"/>
      <c r="FF184" s="74"/>
      <c r="FG184" s="74"/>
      <c r="FH184" s="74"/>
    </row>
    <row r="185" spans="1:164">
      <c r="A185" s="160"/>
      <c r="B185" s="264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  <c r="EW185" s="74"/>
      <c r="EX185" s="74"/>
      <c r="EY185" s="74"/>
      <c r="EZ185" s="74"/>
      <c r="FA185" s="74"/>
      <c r="FB185" s="74"/>
      <c r="FC185" s="74"/>
      <c r="FD185" s="74"/>
      <c r="FE185" s="74"/>
      <c r="FF185" s="74"/>
      <c r="FG185" s="74"/>
      <c r="FH185" s="74"/>
    </row>
    <row r="186" spans="1:164">
      <c r="A186" s="160"/>
      <c r="B186" s="264" t="s">
        <v>322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66"/>
      <c r="AQ186" s="264"/>
      <c r="AR186" s="264"/>
      <c r="AS186" s="264"/>
      <c r="AT186" s="264"/>
      <c r="AU186" s="66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  <c r="EW186" s="74"/>
      <c r="EX186" s="74"/>
      <c r="EY186" s="74"/>
      <c r="EZ186" s="74"/>
      <c r="FA186" s="74"/>
      <c r="FB186" s="74"/>
      <c r="FC186" s="74"/>
      <c r="FD186" s="74"/>
      <c r="FE186" s="74"/>
      <c r="FF186" s="74"/>
      <c r="FG186" s="74"/>
      <c r="FH186" s="74"/>
    </row>
    <row r="187" spans="1:164">
      <c r="A187" s="160"/>
      <c r="B187" s="264" t="s">
        <v>324</v>
      </c>
      <c r="C187" s="264"/>
      <c r="D187" s="264"/>
      <c r="E187" s="264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66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264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66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  <c r="EW187" s="74"/>
      <c r="EX187" s="74"/>
      <c r="EY187" s="74"/>
      <c r="EZ187" s="74"/>
      <c r="FA187" s="74"/>
      <c r="FB187" s="74"/>
      <c r="FC187" s="74"/>
      <c r="FD187" s="74"/>
      <c r="FE187" s="74"/>
      <c r="FF187" s="74"/>
      <c r="FG187" s="74"/>
      <c r="FH187" s="74"/>
    </row>
    <row r="188" spans="1:164">
      <c r="A188" s="160"/>
      <c r="B188" s="264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  <c r="EW188" s="74"/>
      <c r="EX188" s="74"/>
      <c r="EY188" s="74"/>
      <c r="EZ188" s="74"/>
      <c r="FA188" s="74"/>
      <c r="FB188" s="74"/>
      <c r="FC188" s="74"/>
      <c r="FD188" s="74"/>
      <c r="FE188" s="74"/>
      <c r="FF188" s="74"/>
      <c r="FG188" s="74"/>
      <c r="FH188" s="74"/>
    </row>
    <row r="189" spans="1:164">
      <c r="A189" s="160"/>
      <c r="B189" s="264" t="s">
        <v>322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  <c r="EW189" s="74"/>
      <c r="EX189" s="74"/>
      <c r="EY189" s="74"/>
      <c r="EZ189" s="74"/>
      <c r="FA189" s="74"/>
      <c r="FB189" s="74"/>
      <c r="FC189" s="74"/>
      <c r="FD189" s="74"/>
      <c r="FE189" s="74"/>
      <c r="FF189" s="74"/>
      <c r="FG189" s="74"/>
      <c r="FH189" s="74"/>
    </row>
    <row r="190" spans="1:164">
      <c r="A190" s="160"/>
      <c r="B190" s="264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66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66"/>
      <c r="AQ190" s="264"/>
      <c r="AR190" s="264"/>
      <c r="AS190" s="264"/>
      <c r="AT190" s="264"/>
      <c r="AU190" s="66"/>
      <c r="AV190" s="264"/>
      <c r="AW190" s="264"/>
      <c r="AX190" s="264"/>
      <c r="AY190" s="264"/>
      <c r="AZ190" s="264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  <c r="EW190" s="74"/>
      <c r="EX190" s="74"/>
      <c r="EY190" s="74"/>
      <c r="EZ190" s="74"/>
      <c r="FA190" s="74"/>
      <c r="FB190" s="74"/>
      <c r="FC190" s="74"/>
      <c r="FD190" s="74"/>
      <c r="FE190" s="74"/>
      <c r="FF190" s="74"/>
      <c r="FG190" s="74"/>
      <c r="FH190" s="74"/>
    </row>
    <row r="191" spans="1:164">
      <c r="A191" s="160"/>
      <c r="B191" s="264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  <c r="EW191" s="74"/>
      <c r="EX191" s="74"/>
      <c r="EY191" s="74"/>
      <c r="EZ191" s="74"/>
      <c r="FA191" s="74"/>
      <c r="FB191" s="74"/>
      <c r="FC191" s="74"/>
      <c r="FD191" s="74"/>
      <c r="FE191" s="74"/>
      <c r="FF191" s="74"/>
      <c r="FG191" s="74"/>
      <c r="FH191" s="74"/>
    </row>
    <row r="192" spans="1:164">
      <c r="A192" s="160"/>
      <c r="B192" s="264" t="s">
        <v>322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  <c r="EW192" s="74"/>
      <c r="EX192" s="74"/>
      <c r="EY192" s="74"/>
      <c r="EZ192" s="74"/>
      <c r="FA192" s="74"/>
      <c r="FB192" s="74"/>
      <c r="FC192" s="74"/>
      <c r="FD192" s="74"/>
      <c r="FE192" s="74"/>
      <c r="FF192" s="74"/>
      <c r="FG192" s="74"/>
      <c r="FH192" s="74"/>
    </row>
    <row r="193" spans="1:164">
      <c r="A193" s="160"/>
      <c r="B193" s="264" t="s">
        <v>488</v>
      </c>
      <c r="C193" s="264"/>
      <c r="D193" s="264"/>
      <c r="E193" s="264"/>
      <c r="F193" s="264"/>
      <c r="G193" s="264"/>
      <c r="H193" s="264"/>
      <c r="I193" s="264"/>
      <c r="J193" s="66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66"/>
      <c r="AB193" s="264"/>
      <c r="AC193" s="264"/>
      <c r="AD193" s="264"/>
      <c r="AE193" s="264"/>
      <c r="AF193" s="264"/>
      <c r="AG193" s="66"/>
      <c r="AH193" s="264"/>
      <c r="AI193" s="264"/>
      <c r="AJ193" s="264"/>
      <c r="AK193" s="66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264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  <c r="EW193" s="74"/>
      <c r="EX193" s="74"/>
      <c r="EY193" s="74"/>
      <c r="EZ193" s="74"/>
      <c r="FA193" s="74"/>
      <c r="FB193" s="74"/>
      <c r="FC193" s="74"/>
      <c r="FD193" s="74"/>
      <c r="FE193" s="74"/>
      <c r="FF193" s="74"/>
      <c r="FG193" s="74"/>
      <c r="FH193" s="74"/>
    </row>
    <row r="194" spans="1:164">
      <c r="A194" s="160"/>
      <c r="B194" s="264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  <c r="EW194" s="74"/>
      <c r="EX194" s="74"/>
      <c r="EY194" s="74"/>
      <c r="EZ194" s="74"/>
      <c r="FA194" s="74"/>
      <c r="FB194" s="74"/>
      <c r="FC194" s="74"/>
      <c r="FD194" s="74"/>
      <c r="FE194" s="74"/>
      <c r="FF194" s="74"/>
      <c r="FG194" s="74"/>
      <c r="FH194" s="74"/>
    </row>
    <row r="195" spans="1:164">
      <c r="A195" s="160"/>
      <c r="B195" s="264" t="s">
        <v>280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</row>
    <row r="196" spans="1:164">
      <c r="A196" s="160"/>
      <c r="B196" s="264" t="s">
        <v>325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66"/>
      <c r="AS196" s="264"/>
      <c r="AT196" s="264"/>
      <c r="AU196" s="66"/>
      <c r="AV196" s="264"/>
      <c r="AW196" s="264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66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264"/>
      <c r="DX196" s="264"/>
      <c r="DY196" s="66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</row>
    <row r="197" spans="1:164">
      <c r="A197" s="160"/>
      <c r="B197" s="264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  <c r="EW197" s="74"/>
      <c r="EX197" s="74"/>
      <c r="EY197" s="74"/>
      <c r="EZ197" s="74"/>
      <c r="FA197" s="74"/>
      <c r="FB197" s="74"/>
      <c r="FC197" s="74"/>
      <c r="FD197" s="74"/>
      <c r="FE197" s="74"/>
      <c r="FF197" s="74"/>
      <c r="FG197" s="74"/>
      <c r="FH197" s="74"/>
    </row>
    <row r="198" spans="1:164">
      <c r="A198" s="160"/>
      <c r="B198" s="264" t="s">
        <v>322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  <c r="EW198" s="74"/>
      <c r="EX198" s="74"/>
      <c r="EY198" s="74"/>
      <c r="EZ198" s="74"/>
      <c r="FA198" s="74"/>
      <c r="FB198" s="74"/>
      <c r="FC198" s="74"/>
      <c r="FD198" s="74"/>
      <c r="FE198" s="74"/>
      <c r="FF198" s="74"/>
      <c r="FG198" s="74"/>
      <c r="FH198" s="74"/>
    </row>
    <row r="199" spans="1:164">
      <c r="A199" s="160"/>
      <c r="B199" s="264" t="s">
        <v>1458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66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66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66"/>
      <c r="AV199" s="264"/>
      <c r="AW199" s="264"/>
      <c r="AX199" s="264"/>
      <c r="AY199" s="264"/>
      <c r="AZ199" s="66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</row>
    <row r="200" spans="1:164">
      <c r="A200" s="160"/>
      <c r="B200" s="264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</row>
    <row r="201" spans="1:164">
      <c r="A201" s="160"/>
      <c r="B201" s="264" t="s">
        <v>271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264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264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  <c r="EW201" s="74"/>
      <c r="EX201" s="74"/>
      <c r="EY201" s="74"/>
      <c r="EZ201" s="74"/>
      <c r="FA201" s="74"/>
      <c r="FB201" s="74"/>
      <c r="FC201" s="74"/>
      <c r="FD201" s="74"/>
      <c r="FE201" s="74"/>
      <c r="FF201" s="74"/>
      <c r="FG201" s="74"/>
      <c r="FH201" s="74"/>
    </row>
    <row r="202" spans="1:164">
      <c r="A202" s="160"/>
      <c r="B202" s="264" t="s">
        <v>327</v>
      </c>
      <c r="C202" s="264"/>
      <c r="D202" s="264"/>
      <c r="E202" s="264"/>
      <c r="F202" s="66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  <c r="EW202" s="74"/>
      <c r="EX202" s="74"/>
      <c r="EY202" s="74"/>
      <c r="EZ202" s="74"/>
      <c r="FA202" s="74"/>
      <c r="FB202" s="74"/>
      <c r="FC202" s="74"/>
      <c r="FD202" s="74"/>
      <c r="FE202" s="74"/>
      <c r="FF202" s="74"/>
      <c r="FG202" s="74"/>
      <c r="FH202" s="74"/>
    </row>
    <row r="203" spans="1:164">
      <c r="A203" s="160"/>
      <c r="B203" s="264" t="s">
        <v>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  <c r="EW203" s="74"/>
      <c r="EX203" s="74"/>
      <c r="EY203" s="74"/>
      <c r="EZ203" s="74"/>
      <c r="FA203" s="74"/>
      <c r="FB203" s="74"/>
      <c r="FC203" s="74"/>
      <c r="FD203" s="74"/>
      <c r="FE203" s="74"/>
      <c r="FF203" s="74"/>
      <c r="FG203" s="74"/>
      <c r="FH203" s="74"/>
    </row>
    <row r="204" spans="1:164">
      <c r="A204" s="160"/>
      <c r="B204" s="264" t="s">
        <v>580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  <c r="EW204" s="74"/>
      <c r="EX204" s="74"/>
      <c r="EY204" s="74"/>
      <c r="EZ204" s="74"/>
      <c r="FA204" s="74"/>
      <c r="FB204" s="74"/>
      <c r="FC204" s="74"/>
      <c r="FD204" s="74"/>
      <c r="FE204" s="74"/>
      <c r="FF204" s="74"/>
      <c r="FG204" s="74"/>
      <c r="FH204" s="74"/>
    </row>
    <row r="205" spans="1:164">
      <c r="A205" s="160"/>
      <c r="B205" s="264" t="s">
        <v>537</v>
      </c>
      <c r="C205" s="264"/>
      <c r="D205" s="264"/>
      <c r="E205" s="264"/>
      <c r="F205" s="264"/>
      <c r="G205" s="264"/>
      <c r="H205" s="264"/>
      <c r="I205" s="264"/>
      <c r="J205" s="66"/>
      <c r="K205" s="264"/>
      <c r="L205" s="264"/>
      <c r="M205" s="264"/>
      <c r="N205" s="264"/>
      <c r="O205" s="264"/>
      <c r="P205" s="264"/>
      <c r="Q205" s="264"/>
      <c r="R205" s="66"/>
      <c r="S205" s="264"/>
      <c r="T205" s="264"/>
      <c r="U205" s="264"/>
      <c r="V205" s="264"/>
      <c r="W205" s="264"/>
      <c r="X205" s="264"/>
      <c r="Y205" s="66"/>
      <c r="Z205" s="264"/>
      <c r="AA205" s="66"/>
      <c r="AB205" s="264"/>
      <c r="AC205" s="264"/>
      <c r="AD205" s="264"/>
      <c r="AE205" s="264"/>
      <c r="AF205" s="264"/>
      <c r="AG205" s="66"/>
      <c r="AH205" s="264"/>
      <c r="AI205" s="264"/>
      <c r="AJ205" s="264"/>
      <c r="AK205" s="66"/>
      <c r="AL205" s="264"/>
      <c r="AM205" s="264"/>
      <c r="AN205" s="264"/>
      <c r="AO205" s="66"/>
      <c r="AP205" s="264"/>
      <c r="AQ205" s="264"/>
      <c r="AR205" s="264"/>
      <c r="AS205" s="264"/>
      <c r="AT205" s="66"/>
      <c r="AU205" s="264"/>
      <c r="AV205" s="264"/>
      <c r="AW205" s="264"/>
      <c r="AX205" s="264"/>
      <c r="AY205" s="264"/>
      <c r="AZ205" s="66"/>
      <c r="BA205" s="264"/>
      <c r="BB205" s="66"/>
      <c r="BC205" s="264"/>
      <c r="BD205" s="264"/>
      <c r="BE205" s="264"/>
      <c r="BF205" s="264"/>
      <c r="BG205" s="264"/>
      <c r="BH205" s="66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  <c r="EW205" s="74"/>
      <c r="EX205" s="74"/>
      <c r="EY205" s="74"/>
      <c r="EZ205" s="74"/>
      <c r="FA205" s="74"/>
      <c r="FB205" s="74"/>
      <c r="FC205" s="74"/>
      <c r="FD205" s="74"/>
      <c r="FE205" s="74"/>
      <c r="FF205" s="74"/>
      <c r="FG205" s="74"/>
      <c r="FH205" s="74"/>
    </row>
    <row r="206" spans="1:164">
      <c r="A206" s="160"/>
      <c r="B206" s="264" t="s">
        <v>570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  <c r="EW206" s="74"/>
      <c r="EX206" s="74"/>
      <c r="EY206" s="74"/>
      <c r="EZ206" s="74"/>
      <c r="FA206" s="74"/>
      <c r="FB206" s="74"/>
      <c r="FC206" s="74"/>
      <c r="FD206" s="74"/>
      <c r="FE206" s="74"/>
      <c r="FF206" s="74"/>
      <c r="FG206" s="74"/>
      <c r="FH206" s="74"/>
    </row>
    <row r="207" spans="1:164">
      <c r="A207" s="160"/>
      <c r="B207" s="264" t="s">
        <v>627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  <c r="EW207" s="74"/>
      <c r="EX207" s="74"/>
      <c r="EY207" s="74"/>
      <c r="EZ207" s="74"/>
      <c r="FA207" s="74"/>
      <c r="FB207" s="74"/>
      <c r="FC207" s="74"/>
      <c r="FD207" s="74"/>
      <c r="FE207" s="74"/>
      <c r="FF207" s="74"/>
      <c r="FG207" s="74"/>
      <c r="FH207" s="74"/>
    </row>
    <row r="208" spans="1:164">
      <c r="A208" s="160"/>
      <c r="B208" s="264" t="s">
        <v>611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264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  <c r="EW208" s="74"/>
      <c r="EX208" s="74"/>
      <c r="EY208" s="74"/>
      <c r="EZ208" s="74"/>
      <c r="FA208" s="74"/>
      <c r="FB208" s="74"/>
      <c r="FC208" s="74"/>
      <c r="FD208" s="74"/>
      <c r="FE208" s="74"/>
      <c r="FF208" s="74"/>
      <c r="FG208" s="74"/>
      <c r="FH208" s="74"/>
    </row>
    <row r="209" spans="1:164">
      <c r="A209" s="160"/>
      <c r="B209" s="264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  <c r="EW209" s="74"/>
      <c r="EX209" s="74"/>
      <c r="EY209" s="74"/>
      <c r="EZ209" s="74"/>
      <c r="FA209" s="74"/>
      <c r="FB209" s="74"/>
      <c r="FC209" s="74"/>
      <c r="FD209" s="74"/>
      <c r="FE209" s="74"/>
      <c r="FF209" s="74"/>
      <c r="FG209" s="74"/>
      <c r="FH209" s="74"/>
    </row>
    <row r="210" spans="1:164">
      <c r="A210" s="160"/>
      <c r="B210" s="264" t="s">
        <v>271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  <c r="EW210" s="74"/>
      <c r="EX210" s="74"/>
      <c r="EY210" s="74"/>
      <c r="EZ210" s="74"/>
      <c r="FA210" s="74"/>
      <c r="FB210" s="74"/>
      <c r="FC210" s="74"/>
      <c r="FD210" s="74"/>
      <c r="FE210" s="74"/>
      <c r="FF210" s="74"/>
      <c r="FG210" s="74"/>
      <c r="FH210" s="74"/>
    </row>
    <row r="211" spans="1:164">
      <c r="A211" s="160"/>
      <c r="B211" s="264" t="s">
        <v>1459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66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66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264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66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  <c r="EW211" s="74"/>
      <c r="EX211" s="74"/>
      <c r="EY211" s="74"/>
      <c r="EZ211" s="74"/>
      <c r="FA211" s="74"/>
      <c r="FB211" s="74"/>
      <c r="FC211" s="74"/>
      <c r="FD211" s="74"/>
      <c r="FE211" s="74"/>
      <c r="FF211" s="74"/>
      <c r="FG211" s="74"/>
      <c r="FH211" s="74"/>
    </row>
    <row r="212" spans="1:164">
      <c r="A212" s="160"/>
      <c r="B212" s="264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  <c r="EW212" s="74"/>
      <c r="EX212" s="74"/>
      <c r="EY212" s="74"/>
      <c r="EZ212" s="74"/>
      <c r="FA212" s="74"/>
      <c r="FB212" s="74"/>
      <c r="FC212" s="74"/>
      <c r="FD212" s="74"/>
      <c r="FE212" s="74"/>
      <c r="FF212" s="74"/>
      <c r="FG212" s="74"/>
      <c r="FH212" s="74"/>
    </row>
    <row r="213" spans="1:164">
      <c r="A213" s="160"/>
      <c r="B213" s="264" t="s">
        <v>1460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264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264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  <c r="EW213" s="74"/>
      <c r="EX213" s="74"/>
      <c r="EY213" s="74"/>
      <c r="EZ213" s="74"/>
      <c r="FA213" s="74"/>
      <c r="FB213" s="74"/>
      <c r="FC213" s="74"/>
      <c r="FD213" s="74"/>
      <c r="FE213" s="74"/>
      <c r="FF213" s="74"/>
      <c r="FG213" s="74"/>
      <c r="FH213" s="74"/>
    </row>
    <row r="214" spans="1:164">
      <c r="A214" s="160"/>
      <c r="B214" s="264" t="s">
        <v>537</v>
      </c>
      <c r="C214" s="264"/>
      <c r="D214" s="264"/>
      <c r="E214" s="264"/>
      <c r="F214" s="66"/>
      <c r="G214" s="264"/>
      <c r="H214" s="66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66"/>
      <c r="AF214" s="264"/>
      <c r="AG214" s="66"/>
      <c r="AH214" s="264"/>
      <c r="AI214" s="264"/>
      <c r="AJ214" s="264"/>
      <c r="AK214" s="66"/>
      <c r="AL214" s="264"/>
      <c r="AM214" s="264"/>
      <c r="AN214" s="264"/>
      <c r="AO214" s="66"/>
      <c r="AP214" s="66"/>
      <c r="AQ214" s="264"/>
      <c r="AR214" s="264"/>
      <c r="AS214" s="264"/>
      <c r="AT214" s="66"/>
      <c r="AU214" s="264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66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  <c r="EW214" s="74"/>
      <c r="EX214" s="74"/>
      <c r="EY214" s="74"/>
      <c r="EZ214" s="74"/>
      <c r="FA214" s="74"/>
      <c r="FB214" s="74"/>
      <c r="FC214" s="74"/>
      <c r="FD214" s="74"/>
      <c r="FE214" s="74"/>
      <c r="FF214" s="74"/>
      <c r="FG214" s="74"/>
      <c r="FH214" s="74"/>
    </row>
    <row r="215" spans="1:164">
      <c r="A215" s="160"/>
      <c r="B215" s="264" t="s">
        <v>570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  <c r="EW215" s="74"/>
      <c r="EX215" s="74"/>
      <c r="EY215" s="74"/>
      <c r="EZ215" s="74"/>
      <c r="FA215" s="74"/>
      <c r="FB215" s="74"/>
      <c r="FC215" s="74"/>
      <c r="FD215" s="74"/>
      <c r="FE215" s="74"/>
      <c r="FF215" s="74"/>
      <c r="FG215" s="74"/>
      <c r="FH215" s="74"/>
    </row>
    <row r="216" spans="1:164">
      <c r="A216" s="160"/>
      <c r="B216" s="264" t="s">
        <v>1461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  <c r="EW216" s="74"/>
      <c r="EX216" s="74"/>
      <c r="EY216" s="74"/>
      <c r="EZ216" s="74"/>
      <c r="FA216" s="74"/>
      <c r="FB216" s="74"/>
      <c r="FC216" s="74"/>
      <c r="FD216" s="74"/>
      <c r="FE216" s="74"/>
      <c r="FF216" s="74"/>
      <c r="FG216" s="74"/>
      <c r="FH216" s="74"/>
    </row>
    <row r="217" spans="1:164">
      <c r="A217" s="160"/>
      <c r="B217" s="264" t="s">
        <v>1462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66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66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  <c r="EW217" s="74"/>
      <c r="EX217" s="74"/>
      <c r="EY217" s="74"/>
      <c r="EZ217" s="74"/>
      <c r="FA217" s="74"/>
      <c r="FB217" s="74"/>
      <c r="FC217" s="74"/>
      <c r="FD217" s="74"/>
      <c r="FE217" s="74"/>
      <c r="FF217" s="74"/>
      <c r="FG217" s="74"/>
      <c r="FH217" s="74"/>
    </row>
    <row r="218" spans="1:164">
      <c r="A218" s="160"/>
      <c r="B218" s="264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  <c r="EW218" s="74"/>
      <c r="EX218" s="74"/>
      <c r="EY218" s="74"/>
      <c r="EZ218" s="74"/>
      <c r="FA218" s="74"/>
      <c r="FB218" s="74"/>
      <c r="FC218" s="74"/>
      <c r="FD218" s="74"/>
      <c r="FE218" s="74"/>
      <c r="FF218" s="74"/>
      <c r="FG218" s="74"/>
      <c r="FH218" s="74"/>
    </row>
    <row r="219" spans="1:164">
      <c r="A219" s="160"/>
      <c r="B219" s="264" t="s">
        <v>321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  <c r="EW219" s="74"/>
      <c r="EX219" s="74"/>
      <c r="EY219" s="74"/>
      <c r="EZ219" s="74"/>
      <c r="FA219" s="74"/>
      <c r="FB219" s="74"/>
      <c r="FC219" s="74"/>
      <c r="FD219" s="74"/>
      <c r="FE219" s="74"/>
      <c r="FF219" s="74"/>
      <c r="FG219" s="74"/>
      <c r="FH219" s="74"/>
    </row>
    <row r="220" spans="1:164">
      <c r="A220" s="160"/>
      <c r="B220" s="264" t="s">
        <v>7</v>
      </c>
      <c r="C220" s="264"/>
      <c r="D220" s="264"/>
      <c r="E220" s="264"/>
      <c r="F220" s="264"/>
      <c r="G220" s="264"/>
      <c r="H220" s="66"/>
      <c r="I220" s="264"/>
      <c r="J220" s="66"/>
      <c r="K220" s="264"/>
      <c r="L220" s="264"/>
      <c r="M220" s="264"/>
      <c r="N220" s="264"/>
      <c r="O220" s="264"/>
      <c r="P220" s="264"/>
      <c r="Q220" s="264"/>
      <c r="R220" s="66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264"/>
      <c r="AL220" s="264"/>
      <c r="AM220" s="264"/>
      <c r="AN220" s="264"/>
      <c r="AO220" s="66"/>
      <c r="AP220" s="264"/>
      <c r="AQ220" s="264"/>
      <c r="AR220" s="264"/>
      <c r="AS220" s="264"/>
      <c r="AT220" s="66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  <c r="EW220" s="74"/>
      <c r="EX220" s="74"/>
      <c r="EY220" s="74"/>
      <c r="EZ220" s="74"/>
      <c r="FA220" s="74"/>
      <c r="FB220" s="74"/>
      <c r="FC220" s="74"/>
      <c r="FD220" s="74"/>
      <c r="FE220" s="74"/>
      <c r="FF220" s="74"/>
      <c r="FG220" s="74"/>
      <c r="FH220" s="74"/>
    </row>
    <row r="221" spans="1:164">
      <c r="A221" s="160"/>
      <c r="B221" s="264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  <c r="EW221" s="74"/>
      <c r="EX221" s="74"/>
      <c r="EY221" s="74"/>
      <c r="EZ221" s="74"/>
      <c r="FA221" s="74"/>
      <c r="FB221" s="74"/>
      <c r="FC221" s="74"/>
      <c r="FD221" s="74"/>
      <c r="FE221" s="74"/>
      <c r="FF221" s="74"/>
      <c r="FG221" s="74"/>
      <c r="FH221" s="74"/>
    </row>
    <row r="222" spans="1:164">
      <c r="A222" s="160"/>
      <c r="B222" s="264" t="s">
        <v>322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264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  <c r="EW222" s="74"/>
      <c r="EX222" s="74"/>
      <c r="EY222" s="74"/>
      <c r="EZ222" s="74"/>
      <c r="FA222" s="74"/>
      <c r="FB222" s="74"/>
      <c r="FC222" s="74"/>
      <c r="FD222" s="74"/>
      <c r="FE222" s="74"/>
      <c r="FF222" s="74"/>
      <c r="FG222" s="74"/>
      <c r="FH222" s="74"/>
    </row>
    <row r="223" spans="1:164">
      <c r="A223" s="160"/>
      <c r="B223" s="264" t="s">
        <v>328</v>
      </c>
      <c r="C223" s="264"/>
      <c r="D223" s="264"/>
      <c r="E223" s="264"/>
      <c r="F223" s="66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66"/>
      <c r="X223" s="264"/>
      <c r="Y223" s="264"/>
      <c r="Z223" s="264"/>
      <c r="AA223" s="264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66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264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  <c r="EW223" s="74"/>
      <c r="EX223" s="74"/>
      <c r="EY223" s="74"/>
      <c r="EZ223" s="74"/>
      <c r="FA223" s="74"/>
      <c r="FB223" s="74"/>
      <c r="FC223" s="74"/>
      <c r="FD223" s="74"/>
      <c r="FE223" s="74"/>
      <c r="FF223" s="74"/>
      <c r="FG223" s="74"/>
      <c r="FH223" s="74"/>
    </row>
    <row r="224" spans="1:164">
      <c r="A224" s="160"/>
      <c r="B224" s="264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  <c r="EW224" s="74"/>
      <c r="EX224" s="74"/>
      <c r="EY224" s="74"/>
      <c r="EZ224" s="74"/>
      <c r="FA224" s="74"/>
      <c r="FB224" s="74"/>
      <c r="FC224" s="74"/>
      <c r="FD224" s="74"/>
      <c r="FE224" s="74"/>
      <c r="FF224" s="74"/>
      <c r="FG224" s="74"/>
      <c r="FH224" s="74"/>
    </row>
    <row r="225" spans="1:164">
      <c r="A225" s="160"/>
      <c r="B225" s="264" t="s">
        <v>271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66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  <c r="EW225" s="74"/>
      <c r="EX225" s="74"/>
      <c r="EY225" s="74"/>
      <c r="EZ225" s="74"/>
      <c r="FA225" s="74"/>
      <c r="FB225" s="74"/>
      <c r="FC225" s="74"/>
      <c r="FD225" s="74"/>
      <c r="FE225" s="74"/>
      <c r="FF225" s="74"/>
      <c r="FG225" s="74"/>
      <c r="FH225" s="74"/>
    </row>
    <row r="226" spans="1:164">
      <c r="A226" s="160"/>
      <c r="B226" s="264" t="s">
        <v>329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264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264"/>
      <c r="BA226" s="264"/>
      <c r="BB226" s="264"/>
      <c r="BC226" s="264"/>
      <c r="BD226" s="264"/>
      <c r="BE226" s="264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  <c r="EW226" s="74"/>
      <c r="EX226" s="74"/>
      <c r="EY226" s="74"/>
      <c r="EZ226" s="74"/>
      <c r="FA226" s="74"/>
      <c r="FB226" s="74"/>
      <c r="FC226" s="74"/>
      <c r="FD226" s="74"/>
      <c r="FE226" s="74"/>
      <c r="FF226" s="74"/>
      <c r="FG226" s="74"/>
      <c r="FH226" s="74"/>
    </row>
    <row r="227" spans="1:164">
      <c r="A227" s="160"/>
      <c r="B227" s="264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  <c r="EW227" s="74"/>
      <c r="EX227" s="74"/>
      <c r="EY227" s="74"/>
      <c r="EZ227" s="74"/>
      <c r="FA227" s="74"/>
      <c r="FB227" s="74"/>
      <c r="FC227" s="74"/>
      <c r="FD227" s="74"/>
      <c r="FE227" s="74"/>
      <c r="FF227" s="74"/>
      <c r="FG227" s="74"/>
      <c r="FH227" s="74"/>
    </row>
    <row r="228" spans="1:164">
      <c r="A228" s="160"/>
      <c r="B228" s="264" t="s">
        <v>582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66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  <c r="EW228" s="74"/>
      <c r="EX228" s="74"/>
      <c r="EY228" s="74"/>
      <c r="EZ228" s="74"/>
      <c r="FA228" s="74"/>
      <c r="FB228" s="74"/>
      <c r="FC228" s="74"/>
      <c r="FD228" s="74"/>
      <c r="FE228" s="74"/>
      <c r="FF228" s="74"/>
      <c r="FG228" s="74"/>
      <c r="FH228" s="74"/>
    </row>
    <row r="229" spans="1:164">
      <c r="A229" s="160"/>
      <c r="B229" s="264" t="s">
        <v>550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  <c r="EW229" s="74"/>
      <c r="EX229" s="74"/>
      <c r="EY229" s="74"/>
      <c r="EZ229" s="74"/>
      <c r="FA229" s="74"/>
      <c r="FB229" s="74"/>
      <c r="FC229" s="74"/>
      <c r="FD229" s="74"/>
      <c r="FE229" s="74"/>
      <c r="FF229" s="74"/>
      <c r="FG229" s="74"/>
      <c r="FH229" s="74"/>
    </row>
    <row r="230" spans="1:164">
      <c r="A230" s="160"/>
      <c r="B230" s="264" t="s">
        <v>570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  <c r="EW230" s="74"/>
      <c r="EX230" s="74"/>
      <c r="EY230" s="74"/>
      <c r="EZ230" s="74"/>
      <c r="FA230" s="74"/>
      <c r="FB230" s="74"/>
      <c r="FC230" s="74"/>
      <c r="FD230" s="74"/>
      <c r="FE230" s="74"/>
      <c r="FF230" s="74"/>
      <c r="FG230" s="74"/>
      <c r="FH230" s="74"/>
    </row>
    <row r="231" spans="1:164">
      <c r="A231" s="160"/>
      <c r="B231" s="264" t="s">
        <v>628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  <c r="EW231" s="74"/>
      <c r="EX231" s="74"/>
      <c r="EY231" s="74"/>
      <c r="EZ231" s="74"/>
      <c r="FA231" s="74"/>
      <c r="FB231" s="74"/>
      <c r="FC231" s="74"/>
      <c r="FD231" s="74"/>
      <c r="FE231" s="74"/>
      <c r="FF231" s="74"/>
      <c r="FG231" s="74"/>
      <c r="FH231" s="74"/>
    </row>
    <row r="232" spans="1:164">
      <c r="A232" s="160"/>
      <c r="B232" s="264" t="s">
        <v>611</v>
      </c>
      <c r="C232" s="264"/>
      <c r="D232" s="264"/>
      <c r="E232" s="264"/>
      <c r="F232" s="264"/>
      <c r="G232" s="264"/>
      <c r="H232" s="66"/>
      <c r="I232" s="264"/>
      <c r="J232" s="66"/>
      <c r="K232" s="264"/>
      <c r="L232" s="66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66"/>
      <c r="X232" s="264"/>
      <c r="Y232" s="264"/>
      <c r="Z232" s="264"/>
      <c r="AA232" s="264"/>
      <c r="AB232" s="264"/>
      <c r="AC232" s="264"/>
      <c r="AD232" s="264"/>
      <c r="AE232" s="66"/>
      <c r="AF232" s="264"/>
      <c r="AG232" s="66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  <c r="EW232" s="74"/>
      <c r="EX232" s="74"/>
      <c r="EY232" s="74"/>
      <c r="EZ232" s="74"/>
      <c r="FA232" s="74"/>
      <c r="FB232" s="74"/>
      <c r="FC232" s="74"/>
      <c r="FD232" s="74"/>
      <c r="FE232" s="74"/>
      <c r="FF232" s="74"/>
      <c r="FG232" s="74"/>
      <c r="FH232" s="74"/>
    </row>
    <row r="233" spans="1:164">
      <c r="A233" s="160"/>
      <c r="B233" s="264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  <c r="EW233" s="74"/>
      <c r="EX233" s="74"/>
      <c r="EY233" s="74"/>
      <c r="EZ233" s="74"/>
      <c r="FA233" s="74"/>
      <c r="FB233" s="74"/>
      <c r="FC233" s="74"/>
      <c r="FD233" s="74"/>
      <c r="FE233" s="74"/>
      <c r="FF233" s="74"/>
      <c r="FG233" s="74"/>
      <c r="FH233" s="74"/>
    </row>
    <row r="234" spans="1:164">
      <c r="A234" s="160"/>
      <c r="B234" s="264" t="s">
        <v>271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66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  <c r="EW234" s="74"/>
      <c r="EX234" s="74"/>
      <c r="EY234" s="74"/>
      <c r="EZ234" s="74"/>
      <c r="FA234" s="74"/>
      <c r="FB234" s="74"/>
      <c r="FC234" s="74"/>
      <c r="FD234" s="74"/>
      <c r="FE234" s="74"/>
      <c r="FF234" s="74"/>
      <c r="FG234" s="74"/>
      <c r="FH234" s="74"/>
    </row>
    <row r="235" spans="1:164">
      <c r="A235" s="160"/>
      <c r="B235" s="264" t="s">
        <v>330</v>
      </c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66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66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264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66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  <c r="EW235" s="74"/>
      <c r="EX235" s="74"/>
      <c r="EY235" s="74"/>
      <c r="EZ235" s="74"/>
      <c r="FA235" s="74"/>
      <c r="FB235" s="74"/>
      <c r="FC235" s="74"/>
      <c r="FD235" s="74"/>
      <c r="FE235" s="74"/>
      <c r="FF235" s="74"/>
      <c r="FG235" s="74"/>
      <c r="FH235" s="74"/>
    </row>
    <row r="236" spans="1:164">
      <c r="A236" s="160"/>
      <c r="B236" s="264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  <c r="EW236" s="74"/>
      <c r="EX236" s="74"/>
      <c r="EY236" s="74"/>
      <c r="EZ236" s="74"/>
      <c r="FA236" s="74"/>
      <c r="FB236" s="74"/>
      <c r="FC236" s="74"/>
      <c r="FD236" s="74"/>
      <c r="FE236" s="74"/>
      <c r="FF236" s="74"/>
      <c r="FG236" s="74"/>
      <c r="FH236" s="74"/>
    </row>
    <row r="237" spans="1:164">
      <c r="A237" s="160"/>
      <c r="B237" s="264" t="s">
        <v>322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264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</row>
    <row r="238" spans="1:164">
      <c r="A238" s="160"/>
      <c r="B238" s="264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264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</row>
    <row r="239" spans="1:164">
      <c r="A239" s="160"/>
      <c r="B239" s="264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  <c r="EW239" s="74"/>
      <c r="EX239" s="74"/>
      <c r="EY239" s="74"/>
      <c r="EZ239" s="74"/>
      <c r="FA239" s="74"/>
      <c r="FB239" s="74"/>
      <c r="FC239" s="74"/>
      <c r="FD239" s="74"/>
      <c r="FE239" s="74"/>
      <c r="FF239" s="74"/>
      <c r="FG239" s="74"/>
      <c r="FH239" s="74"/>
    </row>
    <row r="240" spans="1:164">
      <c r="A240" s="160"/>
      <c r="B240" s="264" t="s">
        <v>271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  <c r="EW240" s="74"/>
      <c r="EX240" s="74"/>
      <c r="EY240" s="74"/>
      <c r="EZ240" s="74"/>
      <c r="FA240" s="74"/>
      <c r="FB240" s="74"/>
      <c r="FC240" s="74"/>
      <c r="FD240" s="74"/>
      <c r="FE240" s="74"/>
      <c r="FF240" s="74"/>
      <c r="FG240" s="74"/>
      <c r="FH240" s="74"/>
    </row>
    <row r="241" spans="1:164">
      <c r="A241" s="160"/>
      <c r="B241" s="264" t="s">
        <v>331</v>
      </c>
      <c r="C241" s="264"/>
      <c r="D241" s="264"/>
      <c r="E241" s="264"/>
      <c r="F241" s="66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66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66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264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66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</row>
    <row r="242" spans="1:164">
      <c r="A242" s="160"/>
      <c r="B242" s="264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</row>
    <row r="243" spans="1:164">
      <c r="A243" s="160"/>
      <c r="B243" s="264" t="s">
        <v>584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66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  <c r="EW243" s="74"/>
      <c r="EX243" s="74"/>
      <c r="EY243" s="74"/>
      <c r="EZ243" s="74"/>
      <c r="FA243" s="74"/>
      <c r="FB243" s="74"/>
      <c r="FC243" s="74"/>
      <c r="FD243" s="74"/>
      <c r="FE243" s="74"/>
      <c r="FF243" s="74"/>
      <c r="FG243" s="74"/>
      <c r="FH243" s="74"/>
    </row>
    <row r="244" spans="1:164">
      <c r="A244" s="160"/>
      <c r="B244" s="264" t="s">
        <v>577</v>
      </c>
      <c r="C244" s="264"/>
      <c r="D244" s="264"/>
      <c r="E244" s="264"/>
      <c r="F244" s="66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  <c r="V244" s="264"/>
      <c r="W244" s="66"/>
      <c r="X244" s="264"/>
      <c r="Y244" s="264"/>
      <c r="Z244" s="264"/>
      <c r="AA244" s="264"/>
      <c r="AB244" s="264"/>
      <c r="AC244" s="264"/>
      <c r="AD244" s="264"/>
      <c r="AE244" s="264"/>
      <c r="AF244" s="264"/>
      <c r="AG244" s="66"/>
      <c r="AH244" s="264"/>
      <c r="AI244" s="264"/>
      <c r="AJ244" s="264"/>
      <c r="AK244" s="66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66"/>
      <c r="AV244" s="264"/>
      <c r="AW244" s="264"/>
      <c r="AX244" s="264"/>
      <c r="AY244" s="264"/>
      <c r="AZ244" s="66"/>
      <c r="BA244" s="264"/>
      <c r="BB244" s="264"/>
      <c r="BC244" s="264"/>
      <c r="BD244" s="264"/>
      <c r="BE244" s="264"/>
      <c r="BF244" s="264"/>
      <c r="BG244" s="264"/>
      <c r="BH244" s="66"/>
      <c r="BI244" s="264"/>
      <c r="BJ244" s="264"/>
      <c r="BK244" s="66"/>
      <c r="BL244" s="264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  <c r="EW244" s="74"/>
      <c r="EX244" s="74"/>
      <c r="EY244" s="74"/>
      <c r="EZ244" s="74"/>
      <c r="FA244" s="74"/>
      <c r="FB244" s="74"/>
      <c r="FC244" s="74"/>
      <c r="FD244" s="74"/>
      <c r="FE244" s="74"/>
      <c r="FF244" s="74"/>
      <c r="FG244" s="74"/>
      <c r="FH244" s="74"/>
    </row>
    <row r="245" spans="1:164">
      <c r="A245" s="160"/>
      <c r="B245" s="264" t="s">
        <v>570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  <c r="EW245" s="74"/>
      <c r="EX245" s="74"/>
      <c r="EY245" s="74"/>
      <c r="EZ245" s="74"/>
      <c r="FA245" s="74"/>
      <c r="FB245" s="74"/>
      <c r="FC245" s="74"/>
      <c r="FD245" s="74"/>
      <c r="FE245" s="74"/>
      <c r="FF245" s="74"/>
      <c r="FG245" s="74"/>
      <c r="FH245" s="74"/>
    </row>
    <row r="246" spans="1:164">
      <c r="A246" s="160"/>
      <c r="B246" s="264" t="s">
        <v>629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  <c r="EW246" s="74"/>
      <c r="EX246" s="74"/>
      <c r="EY246" s="74"/>
      <c r="EZ246" s="74"/>
      <c r="FA246" s="74"/>
      <c r="FB246" s="74"/>
      <c r="FC246" s="74"/>
      <c r="FD246" s="74"/>
      <c r="FE246" s="74"/>
      <c r="FF246" s="74"/>
      <c r="FG246" s="74"/>
      <c r="FH246" s="74"/>
    </row>
    <row r="247" spans="1:164">
      <c r="A247" s="160"/>
      <c r="B247" s="264" t="s">
        <v>550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66"/>
      <c r="S247" s="264"/>
      <c r="T247" s="66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  <c r="EW247" s="74"/>
      <c r="EX247" s="74"/>
      <c r="EY247" s="74"/>
      <c r="EZ247" s="74"/>
      <c r="FA247" s="74"/>
      <c r="FB247" s="74"/>
      <c r="FC247" s="74"/>
      <c r="FD247" s="74"/>
      <c r="FE247" s="74"/>
      <c r="FF247" s="74"/>
      <c r="FG247" s="74"/>
      <c r="FH247" s="74"/>
    </row>
    <row r="248" spans="1:164">
      <c r="A248" s="160"/>
      <c r="B248" s="264" t="s">
        <v>570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  <c r="EW248" s="74"/>
      <c r="EX248" s="74"/>
      <c r="EY248" s="74"/>
      <c r="EZ248" s="74"/>
      <c r="FA248" s="74"/>
      <c r="FB248" s="74"/>
      <c r="FC248" s="74"/>
      <c r="FD248" s="74"/>
      <c r="FE248" s="74"/>
      <c r="FF248" s="74"/>
      <c r="FG248" s="74"/>
      <c r="FH248" s="74"/>
    </row>
    <row r="249" spans="1:164">
      <c r="A249" s="160"/>
      <c r="B249" s="264" t="s">
        <v>630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264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  <c r="EW249" s="74"/>
      <c r="EX249" s="74"/>
      <c r="EY249" s="74"/>
      <c r="EZ249" s="74"/>
      <c r="FA249" s="74"/>
      <c r="FB249" s="74"/>
      <c r="FC249" s="74"/>
      <c r="FD249" s="74"/>
      <c r="FE249" s="74"/>
      <c r="FF249" s="74"/>
      <c r="FG249" s="74"/>
      <c r="FH249" s="74"/>
    </row>
    <row r="250" spans="1:164">
      <c r="A250" s="160"/>
      <c r="B250" s="264" t="s">
        <v>537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66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66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  <c r="EW250" s="74"/>
      <c r="EX250" s="74"/>
      <c r="EY250" s="74"/>
      <c r="EZ250" s="74"/>
      <c r="FA250" s="74"/>
      <c r="FB250" s="74"/>
      <c r="FC250" s="74"/>
      <c r="FD250" s="74"/>
      <c r="FE250" s="74"/>
      <c r="FF250" s="74"/>
      <c r="FG250" s="74"/>
      <c r="FH250" s="74"/>
    </row>
    <row r="251" spans="1:164">
      <c r="A251" s="160"/>
      <c r="B251" s="264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  <c r="EW251" s="74"/>
      <c r="EX251" s="74"/>
      <c r="EY251" s="74"/>
      <c r="EZ251" s="74"/>
      <c r="FA251" s="74"/>
      <c r="FB251" s="74"/>
      <c r="FC251" s="74"/>
      <c r="FD251" s="74"/>
      <c r="FE251" s="74"/>
      <c r="FF251" s="74"/>
      <c r="FG251" s="74"/>
      <c r="FH251" s="74"/>
    </row>
    <row r="252" spans="1:164">
      <c r="A252" s="160"/>
      <c r="B252" s="264" t="s">
        <v>280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66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264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  <c r="EW252" s="74"/>
      <c r="EX252" s="74"/>
      <c r="EY252" s="74"/>
      <c r="EZ252" s="74"/>
      <c r="FA252" s="74"/>
      <c r="FB252" s="74"/>
      <c r="FC252" s="74"/>
      <c r="FD252" s="74"/>
      <c r="FE252" s="74"/>
      <c r="FF252" s="74"/>
      <c r="FG252" s="74"/>
      <c r="FH252" s="74"/>
    </row>
    <row r="253" spans="1:164">
      <c r="A253" s="160"/>
      <c r="B253" s="264" t="s">
        <v>332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66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66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  <c r="EW253" s="74"/>
      <c r="EX253" s="74"/>
      <c r="EY253" s="74"/>
      <c r="EZ253" s="74"/>
      <c r="FA253" s="74"/>
      <c r="FB253" s="74"/>
      <c r="FC253" s="74"/>
      <c r="FD253" s="74"/>
      <c r="FE253" s="74"/>
      <c r="FF253" s="74"/>
      <c r="FG253" s="74"/>
      <c r="FH253" s="74"/>
    </row>
    <row r="254" spans="1:164">
      <c r="A254" s="160"/>
      <c r="B254" s="264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  <c r="EW254" s="74"/>
      <c r="EX254" s="74"/>
      <c r="EY254" s="74"/>
      <c r="EZ254" s="74"/>
      <c r="FA254" s="74"/>
      <c r="FB254" s="74"/>
      <c r="FC254" s="74"/>
      <c r="FD254" s="74"/>
      <c r="FE254" s="74"/>
      <c r="FF254" s="74"/>
      <c r="FG254" s="74"/>
      <c r="FH254" s="74"/>
    </row>
    <row r="255" spans="1:164">
      <c r="A255" s="160"/>
      <c r="B255" s="264" t="s">
        <v>335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264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  <c r="EW255" s="74"/>
      <c r="EX255" s="74"/>
      <c r="EY255" s="74"/>
      <c r="EZ255" s="74"/>
      <c r="FA255" s="74"/>
      <c r="FB255" s="74"/>
      <c r="FC255" s="74"/>
      <c r="FD255" s="74"/>
      <c r="FE255" s="74"/>
      <c r="FF255" s="74"/>
      <c r="FG255" s="74"/>
      <c r="FH255" s="74"/>
    </row>
    <row r="256" spans="1:164">
      <c r="A256" s="160"/>
      <c r="B256" s="264" t="s">
        <v>336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66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264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  <c r="EW256" s="74"/>
      <c r="EX256" s="74"/>
      <c r="EY256" s="74"/>
      <c r="EZ256" s="74"/>
      <c r="FA256" s="74"/>
      <c r="FB256" s="74"/>
      <c r="FC256" s="74"/>
      <c r="FD256" s="74"/>
      <c r="FE256" s="74"/>
      <c r="FF256" s="74"/>
      <c r="FG256" s="74"/>
      <c r="FH256" s="74"/>
    </row>
    <row r="257" spans="1:164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  <c r="EW257" s="74"/>
      <c r="EX257" s="74"/>
      <c r="EY257" s="74"/>
      <c r="EZ257" s="74"/>
      <c r="FA257" s="74"/>
      <c r="FB257" s="74"/>
      <c r="FC257" s="74"/>
      <c r="FD257" s="74"/>
      <c r="FE257" s="74"/>
      <c r="FF257" s="74"/>
      <c r="FG257" s="74"/>
      <c r="FH257" s="74"/>
    </row>
    <row r="258" spans="1:164">
      <c r="A258" s="160"/>
      <c r="B258" s="160"/>
      <c r="AP258" s="66"/>
      <c r="AZ258" s="66"/>
      <c r="BL258" s="66"/>
      <c r="ED258" s="66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</row>
    <row r="259" spans="1:164">
      <c r="A259" s="160"/>
      <c r="B259" s="160"/>
      <c r="Y259" s="66"/>
      <c r="AA259" s="66"/>
      <c r="AP259" s="66"/>
      <c r="AU259" s="66"/>
      <c r="AZ259" s="66"/>
      <c r="BL259" s="66"/>
      <c r="ED259" s="66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</row>
    <row r="260" spans="1:164">
      <c r="A260" s="160"/>
      <c r="B260" s="160"/>
      <c r="EW260" s="74"/>
      <c r="EX260" s="74"/>
      <c r="EY260" s="74"/>
      <c r="EZ260" s="74"/>
      <c r="FA260" s="74"/>
      <c r="FB260" s="74"/>
      <c r="FC260" s="74"/>
      <c r="FD260" s="74"/>
      <c r="FE260" s="74"/>
      <c r="FF260" s="74"/>
      <c r="FG260" s="74"/>
      <c r="FH260" s="74"/>
    </row>
    <row r="261" spans="1:164">
      <c r="A261" s="160"/>
      <c r="B261" s="160"/>
      <c r="AU261" s="66"/>
      <c r="BL261" s="66"/>
      <c r="CT261" s="66"/>
      <c r="EV261" s="74"/>
      <c r="EW261" s="74"/>
      <c r="EX261" s="74"/>
      <c r="EY261" s="74"/>
      <c r="EZ261" s="74"/>
      <c r="FA261" s="74"/>
      <c r="FB261" s="74"/>
      <c r="FC261" s="74"/>
      <c r="FD261" s="74"/>
      <c r="FE261" s="74"/>
      <c r="FF261" s="74"/>
      <c r="FG261" s="74"/>
      <c r="FH261" s="74"/>
    </row>
    <row r="262" spans="1:164">
      <c r="A262" s="160"/>
      <c r="B262" s="160"/>
      <c r="L262" s="66"/>
      <c r="P262" s="66"/>
      <c r="AA262" s="66"/>
      <c r="AK262" s="66"/>
      <c r="AO262" s="66"/>
      <c r="AP262" s="66"/>
      <c r="AT262" s="66"/>
      <c r="AU262" s="66"/>
      <c r="AY262" s="66"/>
      <c r="AZ262" s="66"/>
      <c r="BE262" s="66"/>
      <c r="BK262" s="66"/>
      <c r="BL262" s="66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</row>
    <row r="263" spans="1:164">
      <c r="A263" s="160"/>
      <c r="B263" s="160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</row>
    <row r="264" spans="1:164">
      <c r="A264" s="160"/>
      <c r="B264" s="160"/>
      <c r="EV264" s="74"/>
      <c r="EW264" s="74"/>
      <c r="EX264" s="74"/>
      <c r="EY264" s="74"/>
      <c r="EZ264" s="74"/>
      <c r="FA264" s="74"/>
      <c r="FB264" s="74"/>
      <c r="FC264" s="74"/>
      <c r="FD264" s="74"/>
      <c r="FE264" s="74"/>
      <c r="FF264" s="74"/>
      <c r="FG264" s="74"/>
      <c r="FH264" s="74"/>
    </row>
    <row r="265" spans="1:164">
      <c r="A265" s="160"/>
      <c r="B265" s="160"/>
      <c r="EV265" s="74"/>
      <c r="EW265" s="74"/>
      <c r="EX265" s="74"/>
      <c r="EY265" s="74"/>
      <c r="EZ265" s="74"/>
      <c r="FA265" s="74"/>
      <c r="FB265" s="74"/>
      <c r="FC265" s="74"/>
      <c r="FD265" s="74"/>
      <c r="FE265" s="74"/>
      <c r="FF265" s="74"/>
      <c r="FG265" s="74"/>
      <c r="FH265" s="74"/>
    </row>
    <row r="266" spans="1:164">
      <c r="A266" s="160"/>
      <c r="B266" s="160"/>
      <c r="EV266" s="74"/>
      <c r="EW266" s="74"/>
      <c r="EX266" s="74"/>
      <c r="EY266" s="74"/>
      <c r="EZ266" s="74"/>
      <c r="FA266" s="74"/>
      <c r="FB266" s="74"/>
      <c r="FC266" s="74"/>
      <c r="FD266" s="74"/>
      <c r="FE266" s="74"/>
      <c r="FF266" s="74"/>
      <c r="FG266" s="74"/>
      <c r="FH266" s="74"/>
    </row>
    <row r="267" spans="1:164">
      <c r="A267" s="160"/>
      <c r="B267" s="160"/>
      <c r="AZ267" s="66"/>
      <c r="BL267" s="66"/>
      <c r="CT267" s="66"/>
      <c r="ED267" s="66"/>
      <c r="EV267" s="74"/>
      <c r="EW267" s="74"/>
      <c r="EX267" s="74"/>
      <c r="EY267" s="74"/>
      <c r="EZ267" s="74"/>
      <c r="FA267" s="74"/>
      <c r="FB267" s="74"/>
      <c r="FC267" s="74"/>
      <c r="FD267" s="74"/>
      <c r="FE267" s="74"/>
      <c r="FF267" s="74"/>
      <c r="FG267" s="74"/>
      <c r="FH267" s="74"/>
    </row>
    <row r="268" spans="1:164">
      <c r="A268" s="160"/>
      <c r="B268" s="160"/>
      <c r="J268" s="66"/>
      <c r="L268" s="66"/>
      <c r="AM268" s="66"/>
      <c r="AT268" s="66"/>
      <c r="AU268" s="66"/>
      <c r="AZ268" s="66"/>
      <c r="BE268" s="66"/>
      <c r="BH268" s="66"/>
      <c r="BK268" s="66"/>
      <c r="BL268" s="66"/>
      <c r="CT268" s="66"/>
      <c r="DI268" s="66"/>
      <c r="DS268" s="66"/>
      <c r="DU268" s="66"/>
      <c r="EC268" s="66"/>
      <c r="EV268" s="74"/>
      <c r="EW268" s="74"/>
      <c r="EX268" s="74"/>
      <c r="EY268" s="74"/>
      <c r="EZ268" s="74"/>
      <c r="FA268" s="74"/>
      <c r="FB268" s="74"/>
      <c r="FC268" s="74"/>
      <c r="FD268" s="74"/>
      <c r="FE268" s="74"/>
      <c r="FF268" s="74"/>
      <c r="FG268" s="74"/>
      <c r="FH268" s="74"/>
    </row>
    <row r="269" spans="1:164">
      <c r="A269" s="160"/>
      <c r="B269" s="160"/>
      <c r="EV269" s="74"/>
      <c r="EW269" s="74"/>
      <c r="EX269" s="74"/>
      <c r="EY269" s="74"/>
      <c r="EZ269" s="74"/>
      <c r="FA269" s="74"/>
      <c r="FB269" s="74"/>
      <c r="FC269" s="74"/>
      <c r="FD269" s="74"/>
      <c r="FE269" s="74"/>
      <c r="FF269" s="74"/>
      <c r="FG269" s="74"/>
      <c r="FH269" s="74"/>
    </row>
    <row r="270" spans="1:164"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  <c r="EK270" s="74"/>
      <c r="EL270" s="74"/>
      <c r="EM270" s="74"/>
      <c r="EN270" s="74"/>
      <c r="EO270" s="74"/>
      <c r="EP270" s="74"/>
      <c r="EQ270" s="74"/>
      <c r="ER270" s="74"/>
      <c r="ES270" s="74"/>
      <c r="ET270" s="74"/>
      <c r="EU270" s="74"/>
    </row>
    <row r="271" spans="1:164"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  <c r="EK271" s="74"/>
      <c r="EL271" s="74"/>
      <c r="EM271" s="74"/>
      <c r="EN271" s="74"/>
      <c r="EO271" s="74"/>
      <c r="EP271" s="74"/>
      <c r="EQ271" s="74"/>
      <c r="ER271" s="74"/>
      <c r="ES271" s="74"/>
      <c r="ET271" s="74"/>
      <c r="EU271" s="74"/>
    </row>
    <row r="272" spans="1:164"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  <c r="EK272" s="74"/>
      <c r="EL272" s="74"/>
      <c r="EM272" s="74"/>
      <c r="EN272" s="74"/>
      <c r="EO272" s="74"/>
      <c r="EP272" s="74"/>
      <c r="EQ272" s="74"/>
      <c r="ER272" s="74"/>
      <c r="ES272" s="74"/>
      <c r="ET272" s="74"/>
      <c r="EU272" s="74"/>
    </row>
    <row r="273" spans="3:151"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  <c r="EK273" s="74"/>
      <c r="EL273" s="74"/>
      <c r="EM273" s="74"/>
      <c r="EN273" s="74"/>
      <c r="EO273" s="74"/>
      <c r="EP273" s="74"/>
      <c r="EQ273" s="74"/>
      <c r="ER273" s="74"/>
      <c r="ES273" s="74"/>
      <c r="ET273" s="74"/>
      <c r="EU273" s="74"/>
    </row>
    <row r="274" spans="3:151"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  <c r="EK274" s="74"/>
      <c r="EL274" s="74"/>
      <c r="EM274" s="74"/>
      <c r="EN274" s="74"/>
      <c r="EO274" s="74"/>
      <c r="EP274" s="74"/>
      <c r="EQ274" s="74"/>
      <c r="ER274" s="74"/>
      <c r="ES274" s="74"/>
      <c r="ET274" s="74"/>
      <c r="EU274" s="74"/>
    </row>
    <row r="275" spans="3:151"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  <c r="EK275" s="74"/>
      <c r="EL275" s="74"/>
      <c r="EM275" s="74"/>
      <c r="EN275" s="74"/>
      <c r="EO275" s="74"/>
      <c r="EP275" s="74"/>
      <c r="EQ275" s="74"/>
      <c r="ER275" s="74"/>
      <c r="ES275" s="74"/>
      <c r="ET275" s="74"/>
      <c r="EU275" s="74"/>
    </row>
    <row r="276" spans="3:151"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  <c r="EK276" s="74"/>
      <c r="EL276" s="74"/>
      <c r="EM276" s="74"/>
      <c r="EN276" s="74"/>
      <c r="EO276" s="74"/>
      <c r="EP276" s="74"/>
      <c r="EQ276" s="74"/>
      <c r="ER276" s="74"/>
      <c r="ES276" s="74"/>
      <c r="ET276" s="74"/>
      <c r="EU276" s="74"/>
    </row>
    <row r="277" spans="3:151"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  <c r="EK277" s="74"/>
      <c r="EL277" s="74"/>
      <c r="EM277" s="74"/>
      <c r="EN277" s="74"/>
      <c r="EO277" s="74"/>
      <c r="EP277" s="74"/>
      <c r="EQ277" s="74"/>
      <c r="ER277" s="74"/>
      <c r="ES277" s="74"/>
      <c r="ET277" s="74"/>
      <c r="EU277" s="74"/>
    </row>
    <row r="278" spans="3:151"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  <c r="EK278" s="74"/>
      <c r="EL278" s="74"/>
      <c r="EM278" s="74"/>
      <c r="EN278" s="74"/>
      <c r="EO278" s="74"/>
      <c r="EP278" s="74"/>
      <c r="EQ278" s="74"/>
      <c r="ER278" s="74"/>
      <c r="ES278" s="74"/>
      <c r="ET278" s="74"/>
      <c r="EU278" s="74"/>
    </row>
    <row r="279" spans="3:151">
      <c r="AU279" s="66"/>
      <c r="AZ279" s="66"/>
      <c r="BL279" s="66"/>
    </row>
    <row r="280" spans="3:151">
      <c r="F280" s="66"/>
      <c r="J280" s="66"/>
      <c r="P280" s="66"/>
      <c r="R280" s="66"/>
      <c r="AA280" s="66"/>
      <c r="AG280" s="66"/>
      <c r="AM280" s="66"/>
      <c r="AR280" s="66"/>
      <c r="AU280" s="66"/>
      <c r="AW280" s="66"/>
      <c r="AZ280" s="66"/>
      <c r="BB280" s="66"/>
      <c r="BK280" s="66"/>
      <c r="BL280" s="66"/>
      <c r="CT280" s="66"/>
      <c r="ED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X280"/>
  <sheetViews>
    <sheetView workbookViewId="0">
      <pane xSplit="2" ySplit="5" topLeftCell="C25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4" ht="26.25">
      <c r="B1" s="31" t="s">
        <v>166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4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4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4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3"/>
      <c r="AC4" s="363"/>
      <c r="AD4" s="7" t="s">
        <v>0</v>
      </c>
      <c r="AE4" s="7" t="s">
        <v>236</v>
      </c>
      <c r="AF4" s="7" t="s">
        <v>0</v>
      </c>
      <c r="AG4" s="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4" s="6" customFormat="1">
      <c r="A5" s="367"/>
      <c r="B5" s="368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4" ht="15" customHeight="1">
      <c r="A6" s="252"/>
      <c r="B6" s="1" t="s">
        <v>271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  <c r="EV6" s="264"/>
      <c r="EW6" s="264"/>
      <c r="EX6" s="264"/>
    </row>
    <row r="7" spans="1:154">
      <c r="A7" s="253"/>
      <c r="B7" s="1" t="s">
        <v>272</v>
      </c>
      <c r="C7" s="264"/>
      <c r="D7" s="66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66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  <c r="EV7" s="264"/>
      <c r="EW7" s="264"/>
      <c r="EX7" s="264"/>
    </row>
    <row r="8" spans="1:154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  <c r="EV8" s="264"/>
      <c r="EW8" s="264"/>
      <c r="EX8" s="264"/>
    </row>
    <row r="9" spans="1:154" ht="15" customHeight="1">
      <c r="A9" s="255"/>
      <c r="B9" s="1" t="s">
        <v>536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  <c r="EV9" s="264"/>
      <c r="EW9" s="264"/>
      <c r="EX9" s="264"/>
    </row>
    <row r="10" spans="1:154">
      <c r="A10" s="256"/>
      <c r="B10" s="1" t="s">
        <v>537</v>
      </c>
      <c r="C10" s="264"/>
      <c r="D10" s="66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66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  <c r="EV10" s="264"/>
      <c r="EW10" s="264"/>
      <c r="EX10" s="264"/>
    </row>
    <row r="11" spans="1:154">
      <c r="A11" s="256"/>
      <c r="B11" s="1" t="s">
        <v>570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  <c r="EV11" s="264"/>
      <c r="EW11" s="264"/>
      <c r="EX11" s="264"/>
    </row>
    <row r="12" spans="1:154">
      <c r="A12" s="256"/>
      <c r="B12" s="1" t="s">
        <v>608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  <c r="EV12" s="264"/>
      <c r="EW12" s="264"/>
      <c r="EX12" s="264"/>
    </row>
    <row r="13" spans="1:154">
      <c r="A13" s="257"/>
      <c r="B13" s="1" t="s">
        <v>609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66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  <c r="EV13" s="264"/>
      <c r="EW13" s="264"/>
      <c r="EX13" s="264"/>
    </row>
    <row r="14" spans="1:154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  <c r="EV14" s="264"/>
      <c r="EW14" s="264"/>
      <c r="EX14" s="264"/>
    </row>
    <row r="15" spans="1:154" ht="15" customHeight="1">
      <c r="A15" s="252"/>
      <c r="B15" s="1" t="s">
        <v>271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66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  <c r="EV15" s="264"/>
      <c r="EW15" s="264"/>
      <c r="EX15" s="264"/>
    </row>
    <row r="16" spans="1:154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66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66"/>
      <c r="AP16" s="66"/>
      <c r="AQ16" s="264"/>
      <c r="AR16" s="264"/>
      <c r="AS16" s="264"/>
      <c r="AT16" s="66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264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  <c r="EV16" s="264"/>
      <c r="EW16" s="264"/>
      <c r="EX16" s="264"/>
    </row>
    <row r="17" spans="1:154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  <c r="EV17" s="264"/>
      <c r="EW17" s="264"/>
      <c r="EX17" s="264"/>
    </row>
    <row r="18" spans="1:154" ht="15" customHeight="1">
      <c r="A18" s="255"/>
      <c r="B18" s="1" t="s">
        <v>540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  <c r="EV18" s="264"/>
      <c r="EW18" s="264"/>
      <c r="EX18" s="264"/>
    </row>
    <row r="19" spans="1:154">
      <c r="A19" s="256"/>
      <c r="B19" s="1" t="s">
        <v>541</v>
      </c>
      <c r="C19" s="264"/>
      <c r="D19" s="66"/>
      <c r="E19" s="264"/>
      <c r="F19" s="264"/>
      <c r="G19" s="264"/>
      <c r="H19" s="264"/>
      <c r="I19" s="264"/>
      <c r="J19" s="264"/>
      <c r="K19" s="264"/>
      <c r="L19" s="6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66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  <c r="EV19" s="264"/>
      <c r="EW19" s="264"/>
      <c r="EX19" s="264"/>
    </row>
    <row r="20" spans="1:154">
      <c r="A20" s="256"/>
      <c r="B20" s="1" t="s">
        <v>570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  <c r="EV20" s="264"/>
      <c r="EW20" s="264"/>
      <c r="EX20" s="264"/>
    </row>
    <row r="21" spans="1:154">
      <c r="A21" s="256"/>
      <c r="B21" s="1" t="s">
        <v>610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  <c r="EV21" s="264"/>
      <c r="EW21" s="264"/>
      <c r="EX21" s="264"/>
    </row>
    <row r="22" spans="1:154">
      <c r="A22" s="257"/>
      <c r="B22" s="1" t="s">
        <v>611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66"/>
      <c r="Z22" s="264"/>
      <c r="AA22" s="66"/>
      <c r="AB22" s="264"/>
      <c r="AC22" s="264"/>
      <c r="AD22" s="264"/>
      <c r="AE22" s="264"/>
      <c r="AF22" s="264"/>
      <c r="AG22" s="264"/>
      <c r="AH22" s="264"/>
      <c r="AI22" s="264"/>
      <c r="AJ22" s="264"/>
      <c r="AK22" s="66"/>
      <c r="AL22" s="264"/>
      <c r="AM22" s="264"/>
      <c r="AN22" s="264"/>
      <c r="AO22" s="66"/>
      <c r="AP22" s="66"/>
      <c r="AQ22" s="264"/>
      <c r="AR22" s="264"/>
      <c r="AS22" s="264"/>
      <c r="AT22" s="264"/>
      <c r="AU22" s="66"/>
      <c r="AV22" s="264"/>
      <c r="AW22" s="66"/>
      <c r="AX22" s="264"/>
      <c r="AY22" s="264"/>
      <c r="AZ22" s="66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  <c r="EV22" s="264"/>
      <c r="EW22" s="264"/>
      <c r="EX22" s="264"/>
    </row>
    <row r="23" spans="1:154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  <c r="EV23" s="264"/>
      <c r="EW23" s="264"/>
      <c r="EX23" s="264"/>
    </row>
    <row r="24" spans="1:154">
      <c r="A24" s="251"/>
      <c r="B24" s="1" t="s">
        <v>271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264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66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  <c r="EV24" s="264"/>
      <c r="EW24" s="264"/>
      <c r="EX24" s="264"/>
    </row>
    <row r="25" spans="1:154">
      <c r="A25" s="251"/>
      <c r="B25" s="1" t="s">
        <v>274</v>
      </c>
      <c r="C25" s="264"/>
      <c r="D25" s="66"/>
      <c r="E25" s="264"/>
      <c r="F25" s="66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264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66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  <c r="EV25" s="264"/>
      <c r="EW25" s="264"/>
      <c r="EX25" s="264"/>
    </row>
    <row r="26" spans="1:154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  <c r="EV26" s="264"/>
      <c r="EW26" s="264"/>
      <c r="EX26" s="264"/>
    </row>
    <row r="27" spans="1:154" ht="15" customHeight="1">
      <c r="A27" s="255"/>
      <c r="B27" s="1" t="s">
        <v>544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  <c r="EV27" s="264"/>
      <c r="EW27" s="264"/>
      <c r="EX27" s="264"/>
    </row>
    <row r="28" spans="1:154">
      <c r="A28" s="256"/>
      <c r="B28" s="1" t="s">
        <v>537</v>
      </c>
      <c r="C28" s="264"/>
      <c r="D28" s="66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66"/>
      <c r="AX28" s="264"/>
      <c r="AY28" s="264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  <c r="EV28" s="264"/>
      <c r="EW28" s="264"/>
      <c r="EX28" s="264"/>
    </row>
    <row r="29" spans="1:154">
      <c r="A29" s="256"/>
      <c r="B29" s="1" t="s">
        <v>570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  <c r="EV29" s="264"/>
      <c r="EW29" s="264"/>
      <c r="EX29" s="264"/>
    </row>
    <row r="30" spans="1:154">
      <c r="A30" s="256"/>
      <c r="B30" s="1" t="s">
        <v>612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264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  <c r="EV30" s="264"/>
      <c r="EW30" s="264"/>
      <c r="EX30" s="264"/>
    </row>
    <row r="31" spans="1:154">
      <c r="A31" s="257"/>
      <c r="B31" s="1" t="s">
        <v>613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66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66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  <c r="EV31" s="264"/>
      <c r="EW31" s="264"/>
      <c r="EX31" s="264"/>
    </row>
    <row r="32" spans="1:154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  <c r="EV32" s="264"/>
      <c r="EW32" s="264"/>
      <c r="EX32" s="264"/>
    </row>
    <row r="33" spans="1:154" ht="15" customHeight="1">
      <c r="A33" s="252"/>
      <c r="B33" s="1" t="s">
        <v>271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66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  <c r="EV33" s="264"/>
      <c r="EW33" s="264"/>
      <c r="EX33" s="264"/>
    </row>
    <row r="34" spans="1:154">
      <c r="A34" s="253"/>
      <c r="B34" s="1" t="s">
        <v>275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  <c r="EV34" s="264"/>
      <c r="EW34" s="264"/>
      <c r="EX34" s="264"/>
    </row>
    <row r="35" spans="1:154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  <c r="EV35" s="264"/>
      <c r="EW35" s="264"/>
      <c r="EX35" s="264"/>
    </row>
    <row r="36" spans="1:154" ht="15" customHeight="1">
      <c r="A36" s="252"/>
      <c r="B36" s="1" t="s">
        <v>276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66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  <c r="EV36" s="264"/>
      <c r="EW36" s="264"/>
      <c r="EX36" s="264"/>
    </row>
    <row r="37" spans="1:154">
      <c r="A37" s="253"/>
      <c r="B37" s="1" t="s">
        <v>277</v>
      </c>
      <c r="C37" s="264"/>
      <c r="D37" s="66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66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66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  <c r="EV37" s="264"/>
      <c r="EW37" s="264"/>
      <c r="EX37" s="264"/>
    </row>
    <row r="38" spans="1:154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  <c r="EV38" s="264"/>
      <c r="EW38" s="264"/>
      <c r="EX38" s="264"/>
    </row>
    <row r="39" spans="1:154" ht="15" customHeight="1">
      <c r="A39" s="252"/>
      <c r="B39" s="1" t="s">
        <v>547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264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  <c r="EV39" s="264"/>
      <c r="EW39" s="264"/>
      <c r="EX39" s="264"/>
    </row>
    <row r="40" spans="1:154">
      <c r="A40" s="253"/>
      <c r="B40" s="1" t="s">
        <v>548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V40" s="264"/>
      <c r="EW40" s="264"/>
      <c r="EX40" s="264"/>
    </row>
    <row r="41" spans="1:154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  <c r="EV41" s="264"/>
      <c r="EW41" s="264"/>
      <c r="EX41" s="264"/>
    </row>
    <row r="42" spans="1:154" ht="15" customHeight="1">
      <c r="A42" s="252"/>
      <c r="B42" s="1" t="s">
        <v>271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66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66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  <c r="EV42" s="264"/>
      <c r="EW42" s="264"/>
      <c r="EX42" s="264"/>
    </row>
    <row r="43" spans="1:154">
      <c r="A43" s="253"/>
      <c r="B43" s="1" t="s">
        <v>278</v>
      </c>
      <c r="C43" s="264"/>
      <c r="D43" s="264"/>
      <c r="E43" s="264"/>
      <c r="F43" s="66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64"/>
      <c r="AT43" s="264"/>
      <c r="AU43" s="66"/>
      <c r="AV43" s="264"/>
      <c r="AW43" s="66"/>
      <c r="AX43" s="264"/>
      <c r="AY43" s="264"/>
      <c r="AZ43" s="264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66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66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  <c r="EV43" s="264"/>
      <c r="EW43" s="264"/>
      <c r="EX43" s="264"/>
    </row>
    <row r="44" spans="1:154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  <c r="EV44" s="264"/>
      <c r="EW44" s="264"/>
      <c r="EX44" s="264"/>
    </row>
    <row r="45" spans="1:154" ht="15" customHeight="1">
      <c r="A45" s="252"/>
      <c r="B45" s="1" t="s">
        <v>271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V45" s="264"/>
      <c r="EW45" s="264"/>
      <c r="EX45" s="264"/>
    </row>
    <row r="46" spans="1:154">
      <c r="A46" s="253"/>
      <c r="B46" s="1" t="s">
        <v>279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66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66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66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66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  <c r="EV46" s="264"/>
      <c r="EW46" s="264"/>
      <c r="EX46" s="264"/>
    </row>
    <row r="47" spans="1:154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  <c r="EV47" s="264"/>
      <c r="EW47" s="264"/>
      <c r="EX47" s="264"/>
    </row>
    <row r="48" spans="1:154" ht="15" customHeight="1">
      <c r="A48" s="255"/>
      <c r="B48" s="1" t="s">
        <v>549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  <c r="EV48" s="264"/>
      <c r="EW48" s="264"/>
      <c r="EX48" s="264"/>
    </row>
    <row r="49" spans="1:154">
      <c r="A49" s="256"/>
      <c r="B49" s="1" t="s">
        <v>550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66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  <c r="EV49" s="264"/>
      <c r="EW49" s="264"/>
      <c r="EX49" s="264"/>
    </row>
    <row r="50" spans="1:154">
      <c r="A50" s="256"/>
      <c r="B50" s="1" t="s">
        <v>570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  <c r="EV50" s="264"/>
      <c r="EW50" s="264"/>
      <c r="EX50" s="264"/>
    </row>
    <row r="51" spans="1:154">
      <c r="A51" s="256"/>
      <c r="B51" s="1" t="s">
        <v>614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  <c r="EV51" s="264"/>
      <c r="EW51" s="264"/>
      <c r="EX51" s="264"/>
    </row>
    <row r="52" spans="1:154">
      <c r="A52" s="257"/>
      <c r="B52" s="1" t="s">
        <v>615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66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264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  <c r="EV52" s="264"/>
      <c r="EW52" s="264"/>
      <c r="EX52" s="264"/>
    </row>
    <row r="53" spans="1:154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  <c r="EV53" s="264"/>
      <c r="EW53" s="264"/>
      <c r="EX53" s="264"/>
    </row>
    <row r="54" spans="1:154" ht="15" customHeight="1">
      <c r="A54" s="252"/>
      <c r="B54" s="1" t="s">
        <v>280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  <c r="EV54" s="264"/>
      <c r="EW54" s="264"/>
      <c r="EX54" s="264"/>
    </row>
    <row r="55" spans="1:154">
      <c r="A55" s="253"/>
      <c r="B55" s="1" t="s">
        <v>281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66"/>
      <c r="U55" s="264"/>
      <c r="V55" s="264"/>
      <c r="W55" s="66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  <c r="EV55" s="264"/>
      <c r="EW55" s="264"/>
      <c r="EX55" s="264"/>
    </row>
    <row r="56" spans="1:154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  <c r="EV56" s="264"/>
      <c r="EW56" s="264"/>
      <c r="EX56" s="264"/>
    </row>
    <row r="57" spans="1:154">
      <c r="A57" s="258"/>
      <c r="B57" s="1" t="s">
        <v>282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V57" s="264"/>
      <c r="EW57" s="264"/>
      <c r="EX57" s="264"/>
    </row>
    <row r="58" spans="1:154">
      <c r="A58" s="259"/>
      <c r="B58" s="1" t="s">
        <v>283</v>
      </c>
      <c r="C58" s="264"/>
      <c r="D58" s="264"/>
      <c r="E58" s="264"/>
      <c r="F58" s="264"/>
      <c r="G58" s="264"/>
      <c r="H58" s="264"/>
      <c r="I58" s="264"/>
      <c r="J58" s="264"/>
      <c r="K58" s="264"/>
      <c r="L58" s="66"/>
      <c r="M58" s="264"/>
      <c r="N58" s="264"/>
      <c r="O58" s="264"/>
      <c r="P58" s="66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66"/>
      <c r="AJ58" s="264"/>
      <c r="AK58" s="264"/>
      <c r="AL58" s="264"/>
      <c r="AM58" s="264"/>
      <c r="AN58" s="264"/>
      <c r="AO58" s="66"/>
      <c r="AP58" s="264"/>
      <c r="AQ58" s="264"/>
      <c r="AR58" s="264"/>
      <c r="AS58" s="264"/>
      <c r="AT58" s="264"/>
      <c r="AU58" s="264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66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  <c r="EV58" s="264"/>
      <c r="EW58" s="264"/>
      <c r="EX58" s="264"/>
    </row>
    <row r="59" spans="1:154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  <c r="EV59" s="264"/>
      <c r="EW59" s="264"/>
      <c r="EX59" s="264"/>
    </row>
    <row r="60" spans="1:154">
      <c r="A60" s="258"/>
      <c r="B60" s="1" t="s">
        <v>284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  <c r="EV60" s="264"/>
      <c r="EW60" s="264"/>
      <c r="EX60" s="264"/>
    </row>
    <row r="61" spans="1:154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66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66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66"/>
      <c r="DX61" s="264"/>
      <c r="DY61" s="264"/>
      <c r="DZ61" s="264"/>
      <c r="EA61" s="264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  <c r="EV61" s="264"/>
      <c r="EW61" s="264"/>
      <c r="EX61" s="264"/>
    </row>
    <row r="62" spans="1:154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  <c r="EV62" s="264"/>
      <c r="EW62" s="264"/>
      <c r="EX62" s="264"/>
    </row>
    <row r="63" spans="1:154">
      <c r="A63" s="258"/>
      <c r="B63" s="1" t="s">
        <v>286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  <c r="EV63" s="264"/>
      <c r="EW63" s="264"/>
      <c r="EX63" s="264"/>
    </row>
    <row r="64" spans="1:154">
      <c r="A64" s="259"/>
      <c r="B64" s="1" t="s">
        <v>287</v>
      </c>
      <c r="C64" s="264"/>
      <c r="D64" s="264"/>
      <c r="E64" s="264"/>
      <c r="F64" s="264"/>
      <c r="G64" s="264"/>
      <c r="H64" s="264"/>
      <c r="I64" s="264"/>
      <c r="J64" s="264"/>
      <c r="K64" s="264"/>
      <c r="L64" s="66"/>
      <c r="M64" s="264"/>
      <c r="N64" s="264"/>
      <c r="O64" s="264"/>
      <c r="P64" s="66"/>
      <c r="Q64" s="264"/>
      <c r="R64" s="264"/>
      <c r="S64" s="264"/>
      <c r="T64" s="264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66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66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V64" s="264"/>
      <c r="EW64" s="264"/>
      <c r="EX64" s="264"/>
    </row>
    <row r="65" spans="1:154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  <c r="EV65" s="264"/>
      <c r="EW65" s="264"/>
      <c r="EX65" s="264"/>
    </row>
    <row r="66" spans="1:154">
      <c r="A66" s="258"/>
      <c r="B66" s="1" t="s">
        <v>288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264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  <c r="EV66" s="264"/>
      <c r="EW66" s="264"/>
      <c r="EX66" s="264"/>
    </row>
    <row r="67" spans="1:154">
      <c r="A67" s="259"/>
      <c r="B67" s="1" t="s">
        <v>289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66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66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  <c r="EV67" s="264"/>
      <c r="EW67" s="264"/>
      <c r="EX67" s="264"/>
    </row>
    <row r="68" spans="1:154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  <c r="EV68" s="264"/>
      <c r="EW68" s="264"/>
      <c r="EX68" s="264"/>
    </row>
    <row r="69" spans="1:154">
      <c r="A69" s="258"/>
      <c r="B69" s="1" t="s">
        <v>290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66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66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66"/>
      <c r="CU69" s="264"/>
      <c r="CV69" s="264"/>
      <c r="CW69" s="264"/>
      <c r="CX69" s="66"/>
      <c r="CY69" s="264"/>
      <c r="CZ69" s="264"/>
      <c r="DA69" s="264"/>
      <c r="DB69" s="66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  <c r="EV69" s="264"/>
      <c r="EW69" s="264"/>
      <c r="EX69" s="264"/>
    </row>
    <row r="70" spans="1:154">
      <c r="A70" s="259"/>
      <c r="B70" s="1" t="s">
        <v>291</v>
      </c>
      <c r="C70" s="264"/>
      <c r="D70" s="264"/>
      <c r="E70" s="264"/>
      <c r="F70" s="66"/>
      <c r="G70" s="264"/>
      <c r="H70" s="264"/>
      <c r="I70" s="264"/>
      <c r="J70" s="66"/>
      <c r="K70" s="264"/>
      <c r="L70" s="66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264"/>
      <c r="AF70" s="264"/>
      <c r="AG70" s="66"/>
      <c r="AH70" s="264"/>
      <c r="AI70" s="66"/>
      <c r="AJ70" s="264"/>
      <c r="AK70" s="66"/>
      <c r="AL70" s="264"/>
      <c r="AM70" s="264"/>
      <c r="AN70" s="264"/>
      <c r="AO70" s="264"/>
      <c r="AP70" s="264"/>
      <c r="AQ70" s="264"/>
      <c r="AR70" s="264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264"/>
      <c r="BG70" s="264"/>
      <c r="BH70" s="264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  <c r="EV70" s="264"/>
      <c r="EW70" s="264"/>
      <c r="EX70" s="264"/>
    </row>
    <row r="71" spans="1:154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  <c r="EV71" s="264"/>
      <c r="EW71" s="264"/>
      <c r="EX71" s="264"/>
    </row>
    <row r="72" spans="1:154">
      <c r="A72" s="258"/>
      <c r="B72" s="1" t="s">
        <v>292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66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  <c r="EV72" s="264"/>
      <c r="EW72" s="264"/>
      <c r="EX72" s="264"/>
    </row>
    <row r="73" spans="1:154">
      <c r="A73" s="259"/>
      <c r="B73" s="1" t="s">
        <v>293</v>
      </c>
      <c r="C73" s="264"/>
      <c r="D73" s="264"/>
      <c r="E73" s="264"/>
      <c r="F73" s="66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66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66"/>
      <c r="CQ73" s="264"/>
      <c r="CR73" s="264"/>
      <c r="CS73" s="264"/>
      <c r="CT73" s="66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  <c r="EV73" s="264"/>
      <c r="EW73" s="264"/>
      <c r="EX73" s="264"/>
    </row>
    <row r="74" spans="1:154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  <c r="EV74" s="264"/>
      <c r="EW74" s="264"/>
      <c r="EX74" s="264"/>
    </row>
    <row r="75" spans="1:154">
      <c r="A75" s="258"/>
      <c r="B75" s="1" t="s">
        <v>294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66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  <c r="EV75" s="264"/>
      <c r="EW75" s="264"/>
      <c r="EX75" s="264"/>
    </row>
    <row r="76" spans="1:154">
      <c r="A76" s="259"/>
      <c r="B76" s="1" t="s">
        <v>295</v>
      </c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</row>
    <row r="77" spans="1:154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V77" s="264"/>
      <c r="EW77" s="264"/>
      <c r="EX77" s="264"/>
    </row>
    <row r="78" spans="1:154">
      <c r="A78" s="258"/>
      <c r="B78" s="1" t="s">
        <v>296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  <c r="EV78" s="264"/>
      <c r="EW78" s="264"/>
      <c r="EX78" s="264"/>
    </row>
    <row r="79" spans="1:154">
      <c r="A79" s="259"/>
      <c r="B79" s="1" t="s">
        <v>289</v>
      </c>
      <c r="C79" s="264"/>
      <c r="D79" s="264"/>
      <c r="E79" s="264"/>
      <c r="F79" s="264"/>
      <c r="G79" s="264"/>
      <c r="H79" s="66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66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66"/>
      <c r="AV79" s="264"/>
      <c r="AW79" s="264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66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  <c r="EV79" s="264"/>
      <c r="EW79" s="264"/>
      <c r="EX79" s="264"/>
    </row>
    <row r="80" spans="1:154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  <c r="EV80" s="264"/>
      <c r="EW80" s="264"/>
      <c r="EX80" s="264"/>
    </row>
    <row r="81" spans="1:154">
      <c r="A81" s="258"/>
      <c r="B81" s="1" t="s">
        <v>297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  <c r="EV81" s="264"/>
      <c r="EW81" s="264"/>
      <c r="EX81" s="264"/>
    </row>
    <row r="82" spans="1:154">
      <c r="A82" s="259"/>
      <c r="B82" s="1" t="s">
        <v>291</v>
      </c>
      <c r="C82" s="264"/>
      <c r="D82" s="264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66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66"/>
      <c r="AU82" s="66"/>
      <c r="AV82" s="264"/>
      <c r="AW82" s="66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  <c r="EV82" s="264"/>
      <c r="EW82" s="264"/>
      <c r="EX82" s="264"/>
    </row>
    <row r="83" spans="1:154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  <c r="EV83" s="264"/>
      <c r="EW83" s="264"/>
      <c r="EX83" s="264"/>
    </row>
    <row r="84" spans="1:154">
      <c r="A84" s="258"/>
      <c r="B84" s="1" t="s">
        <v>298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  <c r="EV84" s="264"/>
      <c r="EW84" s="264"/>
      <c r="EX84" s="264"/>
    </row>
    <row r="85" spans="1:154">
      <c r="A85" s="259"/>
      <c r="B85" s="1" t="s">
        <v>291</v>
      </c>
      <c r="C85" s="264"/>
      <c r="D85" s="66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66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66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264"/>
      <c r="BG85" s="264"/>
      <c r="BH85" s="66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  <c r="EV85" s="264"/>
      <c r="EW85" s="264"/>
      <c r="EX85" s="264"/>
    </row>
    <row r="86" spans="1:154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  <c r="EV86" s="264"/>
      <c r="EW86" s="264"/>
      <c r="EX86" s="264"/>
    </row>
    <row r="87" spans="1:154">
      <c r="A87" s="258"/>
      <c r="B87" s="1" t="s">
        <v>299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66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66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  <c r="EV87" s="264"/>
      <c r="EW87" s="264"/>
      <c r="EX87" s="264"/>
    </row>
    <row r="88" spans="1:154">
      <c r="A88" s="259"/>
      <c r="B88" s="1" t="s">
        <v>291</v>
      </c>
      <c r="C88" s="264"/>
      <c r="D88" s="264"/>
      <c r="E88" s="264"/>
      <c r="F88" s="264"/>
      <c r="G88" s="264"/>
      <c r="H88" s="66"/>
      <c r="I88" s="264"/>
      <c r="J88" s="264"/>
      <c r="K88" s="264"/>
      <c r="L88" s="66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264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66"/>
      <c r="AV88" s="264"/>
      <c r="AW88" s="264"/>
      <c r="AX88" s="264"/>
      <c r="AY88" s="264"/>
      <c r="AZ88" s="264"/>
      <c r="BA88" s="264"/>
      <c r="BB88" s="264"/>
      <c r="BC88" s="264"/>
      <c r="BD88" s="264"/>
      <c r="BE88" s="264"/>
      <c r="BF88" s="264"/>
      <c r="BG88" s="264"/>
      <c r="BH88" s="264"/>
      <c r="BI88" s="264"/>
      <c r="BJ88" s="264"/>
      <c r="BK88" s="66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66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66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66"/>
      <c r="DZ88" s="264"/>
      <c r="EA88" s="66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  <c r="EV88" s="264"/>
      <c r="EW88" s="264"/>
      <c r="EX88" s="264"/>
    </row>
    <row r="89" spans="1:154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  <c r="EV89" s="264"/>
      <c r="EW89" s="264"/>
      <c r="EX89" s="264"/>
    </row>
    <row r="90" spans="1:154">
      <c r="A90" s="258"/>
      <c r="B90" s="1" t="s">
        <v>300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66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66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  <c r="EV90" s="264"/>
      <c r="EW90" s="264"/>
      <c r="EX90" s="264"/>
    </row>
    <row r="91" spans="1:154">
      <c r="A91" s="259"/>
      <c r="B91" s="1" t="s">
        <v>293</v>
      </c>
      <c r="C91" s="264"/>
      <c r="D91" s="66"/>
      <c r="E91" s="264"/>
      <c r="F91" s="66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66"/>
      <c r="S91" s="264"/>
      <c r="T91" s="264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66"/>
      <c r="AP91" s="264"/>
      <c r="AQ91" s="264"/>
      <c r="AR91" s="66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264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  <c r="EV91" s="264"/>
      <c r="EW91" s="264"/>
      <c r="EX91" s="264"/>
    </row>
    <row r="92" spans="1:154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  <c r="EV92" s="264"/>
      <c r="EW92" s="264"/>
      <c r="EX92" s="264"/>
    </row>
    <row r="93" spans="1:154">
      <c r="A93" s="258"/>
      <c r="B93" s="1" t="s">
        <v>301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66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  <c r="EV93" s="264"/>
      <c r="EW93" s="264"/>
      <c r="EX93" s="264"/>
    </row>
    <row r="94" spans="1:154">
      <c r="A94" s="259"/>
      <c r="B94" s="1" t="s">
        <v>302</v>
      </c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  <c r="T94" s="66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66"/>
      <c r="BA94" s="264"/>
      <c r="BB94" s="264"/>
      <c r="BC94" s="264"/>
      <c r="BD94" s="264"/>
      <c r="BE94" s="264"/>
      <c r="BF94" s="66"/>
      <c r="BG94" s="264"/>
      <c r="BH94" s="264"/>
      <c r="BI94" s="264"/>
      <c r="BJ94" s="264"/>
      <c r="BK94" s="66"/>
      <c r="BL94" s="66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  <c r="EV94" s="264"/>
      <c r="EW94" s="264"/>
      <c r="EX94" s="264"/>
    </row>
    <row r="95" spans="1:154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  <c r="EV95" s="264"/>
      <c r="EW95" s="264"/>
      <c r="EX95" s="264"/>
    </row>
    <row r="96" spans="1:154">
      <c r="A96" s="258"/>
      <c r="B96" s="260" t="s">
        <v>308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66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  <c r="EV96" s="264"/>
      <c r="EW96" s="264"/>
      <c r="EX96" s="264"/>
    </row>
    <row r="97" spans="1:154">
      <c r="A97" s="259"/>
      <c r="B97" s="260" t="s">
        <v>309</v>
      </c>
      <c r="C97" s="264"/>
      <c r="D97" s="66"/>
      <c r="E97" s="264"/>
      <c r="F97" s="66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  <c r="EV97" s="264"/>
      <c r="EW97" s="264"/>
      <c r="EX97" s="264"/>
    </row>
    <row r="98" spans="1:154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  <c r="EV98" s="264"/>
      <c r="EW98" s="264"/>
      <c r="EX98" s="264"/>
    </row>
    <row r="99" spans="1:154">
      <c r="A99" s="258"/>
      <c r="B99" s="1" t="s">
        <v>645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264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264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  <c r="EV99" s="264"/>
      <c r="EW99" s="264"/>
      <c r="EX99" s="264"/>
    </row>
    <row r="100" spans="1:154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66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264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66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264"/>
      <c r="DT100" s="264"/>
      <c r="DU100" s="66"/>
      <c r="DV100" s="264"/>
      <c r="DW100" s="66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  <c r="EV100" s="264"/>
      <c r="EW100" s="264"/>
      <c r="EX100" s="264"/>
    </row>
    <row r="101" spans="1:154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  <c r="EV101" s="264"/>
      <c r="EW101" s="264"/>
      <c r="EX101" s="264"/>
    </row>
    <row r="102" spans="1:154">
      <c r="A102" s="258"/>
      <c r="B102" s="1" t="s">
        <v>271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  <c r="EV102" s="264"/>
      <c r="EW102" s="264"/>
      <c r="EX102" s="264"/>
    </row>
    <row r="103" spans="1:154">
      <c r="A103" s="259"/>
      <c r="B103" s="1" t="s">
        <v>312</v>
      </c>
      <c r="C103" s="264"/>
      <c r="D103" s="264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66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66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264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  <c r="EV103" s="264"/>
      <c r="EW103" s="264"/>
      <c r="EX103" s="264"/>
    </row>
    <row r="104" spans="1:154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  <c r="EV104" s="264"/>
      <c r="EW104" s="264"/>
      <c r="EX104" s="264"/>
    </row>
    <row r="105" spans="1:154">
      <c r="A105" s="258"/>
      <c r="B105" s="1" t="s">
        <v>271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66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  <c r="EV105" s="264"/>
      <c r="EW105" s="264"/>
      <c r="EX105" s="264"/>
    </row>
    <row r="106" spans="1:154">
      <c r="A106" s="259"/>
      <c r="B106" s="1" t="s">
        <v>313</v>
      </c>
      <c r="C106" s="264"/>
      <c r="D106" s="66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66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66"/>
      <c r="AH106" s="264"/>
      <c r="AI106" s="264"/>
      <c r="AJ106" s="264"/>
      <c r="AK106" s="264"/>
      <c r="AL106" s="264"/>
      <c r="AM106" s="264"/>
      <c r="AN106" s="264"/>
      <c r="AO106" s="264"/>
      <c r="AP106" s="264"/>
      <c r="AQ106" s="264"/>
      <c r="AR106" s="264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  <c r="EV106" s="264"/>
      <c r="EW106" s="264"/>
      <c r="EX106" s="264"/>
    </row>
    <row r="107" spans="1:154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  <c r="EV107" s="264"/>
      <c r="EW107" s="264"/>
      <c r="EX107" s="264"/>
    </row>
    <row r="108" spans="1:154">
      <c r="A108" s="258"/>
      <c r="B108" s="1" t="s">
        <v>553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264"/>
      <c r="AV108" s="264"/>
      <c r="AW108" s="264"/>
      <c r="AX108" s="264"/>
      <c r="AY108" s="264"/>
      <c r="AZ108" s="264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  <c r="EV108" s="264"/>
      <c r="EW108" s="264"/>
      <c r="EX108" s="264"/>
    </row>
    <row r="109" spans="1:154">
      <c r="A109" s="259"/>
      <c r="B109" s="1" t="s">
        <v>554</v>
      </c>
      <c r="C109" s="264"/>
      <c r="D109" s="66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66"/>
      <c r="S109" s="264"/>
      <c r="T109" s="264"/>
      <c r="U109" s="264"/>
      <c r="V109" s="264"/>
      <c r="W109" s="264"/>
      <c r="X109" s="264"/>
      <c r="Y109" s="264"/>
      <c r="Z109" s="264"/>
      <c r="AA109" s="264"/>
      <c r="AB109" s="264"/>
      <c r="AC109" s="264"/>
      <c r="AD109" s="264"/>
      <c r="AE109" s="264"/>
      <c r="AF109" s="264"/>
      <c r="AG109" s="66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66"/>
      <c r="BC109" s="264"/>
      <c r="BD109" s="264"/>
      <c r="BE109" s="66"/>
      <c r="BF109" s="264"/>
      <c r="BG109" s="264"/>
      <c r="BH109" s="264"/>
      <c r="BI109" s="264"/>
      <c r="BJ109" s="264"/>
      <c r="BK109" s="66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66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66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  <c r="EV109" s="264"/>
      <c r="EW109" s="264"/>
      <c r="EX109" s="264"/>
    </row>
    <row r="110" spans="1:154" ht="15" customHeight="1">
      <c r="A110" s="254"/>
      <c r="B110" s="1" t="s">
        <v>570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  <c r="EV110" s="264"/>
      <c r="EW110" s="264"/>
      <c r="EX110" s="264"/>
    </row>
    <row r="111" spans="1:154">
      <c r="A111" s="258"/>
      <c r="B111" s="1" t="s">
        <v>616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  <c r="EV111" s="264"/>
      <c r="EW111" s="264"/>
      <c r="EX111" s="264"/>
    </row>
    <row r="112" spans="1:154">
      <c r="A112" s="259"/>
      <c r="B112" s="1" t="s">
        <v>617</v>
      </c>
      <c r="C112" s="264"/>
      <c r="D112" s="66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66"/>
      <c r="S112" s="264"/>
      <c r="T112" s="264"/>
      <c r="U112" s="264"/>
      <c r="V112" s="264"/>
      <c r="W112" s="264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66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  <c r="EV112" s="264"/>
      <c r="EW112" s="264"/>
      <c r="EX112" s="264"/>
    </row>
    <row r="113" spans="1:154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  <c r="EV113" s="264"/>
      <c r="EW113" s="264"/>
      <c r="EX113" s="264"/>
    </row>
    <row r="114" spans="1:154">
      <c r="A114" s="258"/>
      <c r="B114" s="1" t="s">
        <v>271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264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  <c r="EV114" s="264"/>
      <c r="EW114" s="264"/>
      <c r="EX114" s="264"/>
    </row>
    <row r="115" spans="1:154">
      <c r="A115" s="259"/>
      <c r="B115" s="1" t="s">
        <v>2</v>
      </c>
      <c r="C115" s="264"/>
      <c r="D115" s="264"/>
      <c r="E115" s="264"/>
      <c r="F115" s="66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264"/>
      <c r="AV115" s="264"/>
      <c r="AW115" s="264"/>
      <c r="AX115" s="264"/>
      <c r="AY115" s="264"/>
      <c r="AZ115" s="66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264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  <c r="EV115" s="264"/>
      <c r="EW115" s="264"/>
      <c r="EX115" s="264"/>
    </row>
    <row r="116" spans="1:154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  <c r="EV116" s="264"/>
      <c r="EW116" s="264"/>
      <c r="EX116" s="264"/>
    </row>
    <row r="117" spans="1:154" ht="15" customHeight="1">
      <c r="A117" s="255"/>
      <c r="B117" s="1" t="s">
        <v>557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66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  <c r="EV117" s="264"/>
      <c r="EW117" s="264"/>
      <c r="EX117" s="264"/>
    </row>
    <row r="118" spans="1:154">
      <c r="A118" s="256"/>
      <c r="B118" s="1" t="s">
        <v>537</v>
      </c>
      <c r="C118" s="264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66"/>
      <c r="Q118" s="264"/>
      <c r="R118" s="264"/>
      <c r="S118" s="264"/>
      <c r="T118" s="264"/>
      <c r="U118" s="264"/>
      <c r="V118" s="264"/>
      <c r="W118" s="264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66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  <c r="EV118" s="264"/>
      <c r="EW118" s="264"/>
      <c r="EX118" s="264"/>
    </row>
    <row r="119" spans="1:154">
      <c r="A119" s="256"/>
      <c r="B119" s="1" t="s">
        <v>570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  <c r="EV119" s="264"/>
      <c r="EW119" s="264"/>
      <c r="EX119" s="264"/>
    </row>
    <row r="120" spans="1:154">
      <c r="A120" s="256"/>
      <c r="B120" s="1" t="s">
        <v>618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66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  <c r="EV120" s="264"/>
      <c r="EW120" s="264"/>
      <c r="EX120" s="264"/>
    </row>
    <row r="121" spans="1:154">
      <c r="A121" s="257"/>
      <c r="B121" s="1" t="s">
        <v>609</v>
      </c>
      <c r="C121" s="264"/>
      <c r="D121" s="264"/>
      <c r="E121" s="264"/>
      <c r="F121" s="264"/>
      <c r="G121" s="264"/>
      <c r="H121" s="66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66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  <c r="EV121" s="264"/>
      <c r="EW121" s="264"/>
      <c r="EX121" s="264"/>
    </row>
    <row r="122" spans="1:154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  <c r="EV122" s="264"/>
      <c r="EW122" s="264"/>
      <c r="EX122" s="264"/>
    </row>
    <row r="123" spans="1:154">
      <c r="A123" s="160"/>
      <c r="B123" s="1" t="s">
        <v>647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  <c r="EV123" s="264"/>
      <c r="EW123" s="264"/>
      <c r="EX123" s="264"/>
    </row>
    <row r="124" spans="1:154">
      <c r="A124" s="160"/>
      <c r="B124" s="1" t="s">
        <v>559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66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66"/>
      <c r="AF124" s="264"/>
      <c r="AG124" s="264"/>
      <c r="AH124" s="264"/>
      <c r="AI124" s="264"/>
      <c r="AJ124" s="264"/>
      <c r="AK124" s="264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  <c r="EV124" s="264"/>
      <c r="EW124" s="264"/>
      <c r="EX124" s="264"/>
    </row>
    <row r="125" spans="1:154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  <c r="EV125" s="264"/>
      <c r="EW125" s="264"/>
      <c r="EX125" s="264"/>
    </row>
    <row r="126" spans="1:154">
      <c r="A126" s="160"/>
      <c r="B126" s="1" t="s">
        <v>560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  <c r="EV126" s="264"/>
      <c r="EW126" s="264"/>
      <c r="EX126" s="264"/>
    </row>
    <row r="127" spans="1:154">
      <c r="A127" s="160"/>
      <c r="B127" s="1" t="s">
        <v>537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66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66"/>
      <c r="BA127" s="264"/>
      <c r="BB127" s="66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  <c r="EV127" s="264"/>
      <c r="EW127" s="264"/>
      <c r="EX127" s="264"/>
    </row>
    <row r="128" spans="1:154">
      <c r="A128" s="160"/>
      <c r="B128" s="1" t="s">
        <v>570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  <c r="EV128" s="264"/>
      <c r="EW128" s="264"/>
      <c r="EX128" s="264"/>
    </row>
    <row r="129" spans="1:154">
      <c r="A129" s="160"/>
      <c r="B129" s="1" t="s">
        <v>619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  <c r="EV129" s="264"/>
      <c r="EW129" s="264"/>
      <c r="EX129" s="264"/>
    </row>
    <row r="130" spans="1:154">
      <c r="A130" s="160"/>
      <c r="B130" s="1" t="s">
        <v>620</v>
      </c>
      <c r="C130" s="264"/>
      <c r="D130" s="264"/>
      <c r="E130" s="264"/>
      <c r="F130" s="264"/>
      <c r="G130" s="264"/>
      <c r="H130" s="66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66"/>
      <c r="AP130" s="66"/>
      <c r="AQ130" s="264"/>
      <c r="AR130" s="264"/>
      <c r="AS130" s="264"/>
      <c r="AT130" s="66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264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  <c r="EV130" s="264"/>
      <c r="EW130" s="264"/>
      <c r="EX130" s="264"/>
    </row>
    <row r="131" spans="1:154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  <c r="EV131" s="264"/>
      <c r="EW131" s="264"/>
      <c r="EX131" s="264"/>
    </row>
    <row r="132" spans="1:154">
      <c r="A132" s="160"/>
      <c r="B132" s="1" t="s">
        <v>314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66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  <c r="EV132" s="264"/>
      <c r="EW132" s="264"/>
      <c r="EX132" s="264"/>
    </row>
    <row r="133" spans="1:154">
      <c r="A133" s="160"/>
      <c r="B133" s="1" t="s">
        <v>315</v>
      </c>
      <c r="C133" s="264"/>
      <c r="D133" s="264"/>
      <c r="E133" s="264"/>
      <c r="F133" s="66"/>
      <c r="G133" s="264"/>
      <c r="H133" s="264"/>
      <c r="I133" s="264"/>
      <c r="J133" s="66"/>
      <c r="K133" s="264"/>
      <c r="L133" s="264"/>
      <c r="M133" s="264"/>
      <c r="N133" s="264"/>
      <c r="O133" s="264"/>
      <c r="P133" s="66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66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264"/>
      <c r="BL133" s="264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264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  <c r="EV133" s="264"/>
      <c r="EW133" s="264"/>
      <c r="EX133" s="264"/>
    </row>
    <row r="134" spans="1:154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  <c r="EV134" s="264"/>
      <c r="EW134" s="264"/>
      <c r="EX134" s="264"/>
    </row>
    <row r="135" spans="1:154">
      <c r="A135" s="160"/>
      <c r="B135" s="1" t="s">
        <v>563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66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66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  <c r="EV135" s="264"/>
      <c r="EW135" s="264"/>
      <c r="EX135" s="264"/>
    </row>
    <row r="136" spans="1:154">
      <c r="A136" s="160"/>
      <c r="B136" s="1" t="s">
        <v>564</v>
      </c>
      <c r="C136" s="264"/>
      <c r="D136" s="264"/>
      <c r="E136" s="264"/>
      <c r="F136" s="66"/>
      <c r="G136" s="264"/>
      <c r="H136" s="264"/>
      <c r="I136" s="264"/>
      <c r="J136" s="66"/>
      <c r="K136" s="264"/>
      <c r="L136" s="264"/>
      <c r="M136" s="264"/>
      <c r="N136" s="264"/>
      <c r="O136" s="264"/>
      <c r="P136" s="66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66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66"/>
      <c r="AX136" s="264"/>
      <c r="AY136" s="264"/>
      <c r="AZ136" s="66"/>
      <c r="BA136" s="264"/>
      <c r="BB136" s="264"/>
      <c r="BC136" s="264"/>
      <c r="BD136" s="264"/>
      <c r="BE136" s="264"/>
      <c r="BF136" s="264"/>
      <c r="BG136" s="264"/>
      <c r="BH136" s="66"/>
      <c r="BI136" s="264"/>
      <c r="BJ136" s="264"/>
      <c r="BK136" s="66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66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  <c r="EV136" s="264"/>
      <c r="EW136" s="264"/>
      <c r="EX136" s="264"/>
    </row>
    <row r="137" spans="1:154">
      <c r="A137" s="160"/>
      <c r="B137" s="1" t="s">
        <v>570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  <c r="EV137" s="264"/>
      <c r="EW137" s="264"/>
      <c r="EX137" s="264"/>
    </row>
    <row r="138" spans="1:154">
      <c r="A138" s="160"/>
      <c r="B138" s="1" t="s">
        <v>621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66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  <c r="EV138" s="264"/>
      <c r="EW138" s="264"/>
      <c r="EX138" s="264"/>
    </row>
    <row r="139" spans="1:154">
      <c r="A139" s="160"/>
      <c r="B139" s="1" t="s">
        <v>622</v>
      </c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66"/>
      <c r="U139" s="264"/>
      <c r="V139" s="264"/>
      <c r="W139" s="264"/>
      <c r="X139" s="264"/>
      <c r="Y139" s="264"/>
      <c r="Z139" s="264"/>
      <c r="AA139" s="66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66"/>
      <c r="AQ139" s="264"/>
      <c r="AR139" s="264"/>
      <c r="AS139" s="264"/>
      <c r="AT139" s="264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  <c r="EV139" s="264"/>
      <c r="EW139" s="264"/>
      <c r="EX139" s="264"/>
    </row>
    <row r="140" spans="1:154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  <c r="EV140" s="264"/>
      <c r="EW140" s="264"/>
      <c r="EX140" s="264"/>
    </row>
    <row r="141" spans="1:154">
      <c r="A141" s="160"/>
      <c r="B141" s="1" t="s">
        <v>316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66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  <c r="EV141" s="264"/>
      <c r="EW141" s="264"/>
      <c r="EX141" s="264"/>
    </row>
    <row r="142" spans="1:154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66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66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264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  <c r="EV142" s="264"/>
      <c r="EW142" s="264"/>
      <c r="EX142" s="264"/>
    </row>
    <row r="143" spans="1:154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  <c r="EV143" s="264"/>
      <c r="EW143" s="264"/>
      <c r="EX143" s="264"/>
    </row>
    <row r="144" spans="1:154">
      <c r="A144" s="160"/>
      <c r="B144" s="1" t="s">
        <v>648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264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66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  <c r="EV144" s="264"/>
      <c r="EW144" s="264"/>
      <c r="EX144" s="264"/>
    </row>
    <row r="145" spans="1:154">
      <c r="A145" s="160"/>
      <c r="B145" s="1" t="s">
        <v>567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264"/>
      <c r="AV145" s="264"/>
      <c r="AW145" s="264"/>
      <c r="AX145" s="264"/>
      <c r="AY145" s="264"/>
      <c r="AZ145" s="264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  <c r="EV145" s="264"/>
      <c r="EW145" s="264"/>
      <c r="EX145" s="264"/>
    </row>
    <row r="146" spans="1:154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  <c r="EV146" s="264"/>
      <c r="EW146" s="264"/>
      <c r="EX146" s="264"/>
    </row>
    <row r="147" spans="1:154">
      <c r="A147" s="160"/>
      <c r="B147" s="1" t="s">
        <v>271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  <c r="EV147" s="264"/>
      <c r="EW147" s="264"/>
      <c r="EX147" s="264"/>
    </row>
    <row r="148" spans="1:154">
      <c r="A148" s="160"/>
      <c r="B148" s="1" t="s">
        <v>317</v>
      </c>
      <c r="C148" s="264"/>
      <c r="D148" s="66"/>
      <c r="E148" s="264"/>
      <c r="F148" s="66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66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66"/>
      <c r="AS148" s="264"/>
      <c r="AT148" s="264"/>
      <c r="AU148" s="66"/>
      <c r="AV148" s="264"/>
      <c r="AW148" s="66"/>
      <c r="AX148" s="264"/>
      <c r="AY148" s="66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  <c r="EV148" s="264"/>
      <c r="EW148" s="264"/>
      <c r="EX148" s="264"/>
    </row>
    <row r="149" spans="1:154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  <c r="EV149" s="264"/>
      <c r="EW149" s="264"/>
      <c r="EX149" s="264"/>
    </row>
    <row r="150" spans="1:154">
      <c r="A150" s="160"/>
      <c r="B150" s="1" t="s">
        <v>280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  <c r="EV150" s="264"/>
      <c r="EW150" s="264"/>
      <c r="EX150" s="264"/>
    </row>
    <row r="151" spans="1:154">
      <c r="A151" s="160"/>
      <c r="B151" s="1" t="s">
        <v>318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66"/>
      <c r="AN151" s="264"/>
      <c r="AO151" s="264"/>
      <c r="AP151" s="264"/>
      <c r="AQ151" s="264"/>
      <c r="AR151" s="264"/>
      <c r="AS151" s="264"/>
      <c r="AT151" s="264"/>
      <c r="AU151" s="264"/>
      <c r="AV151" s="264"/>
      <c r="AW151" s="264"/>
      <c r="AX151" s="264"/>
      <c r="AY151" s="264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264"/>
      <c r="DN151" s="264"/>
      <c r="DO151" s="264"/>
      <c r="DP151" s="264"/>
      <c r="DQ151" s="264"/>
      <c r="DR151" s="264"/>
      <c r="DS151" s="264"/>
      <c r="DT151" s="264"/>
      <c r="DU151" s="66"/>
      <c r="DV151" s="264"/>
      <c r="DW151" s="264"/>
      <c r="DX151" s="264"/>
      <c r="DY151" s="66"/>
      <c r="DZ151" s="264"/>
      <c r="EA151" s="66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  <c r="EV151" s="264"/>
      <c r="EW151" s="264"/>
      <c r="EX151" s="264"/>
    </row>
    <row r="152" spans="1:154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  <c r="EV152" s="264"/>
      <c r="EW152" s="264"/>
      <c r="EX152" s="264"/>
    </row>
    <row r="153" spans="1:154">
      <c r="A153" s="160"/>
      <c r="B153" s="1" t="s">
        <v>322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264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  <c r="EV153" s="264"/>
      <c r="EW153" s="264"/>
      <c r="EX153" s="264"/>
    </row>
    <row r="154" spans="1:154">
      <c r="A154" s="160"/>
      <c r="B154" s="1" t="s">
        <v>478</v>
      </c>
      <c r="C154" s="264"/>
      <c r="D154" s="264"/>
      <c r="E154" s="264"/>
      <c r="F154" s="264"/>
      <c r="G154" s="264"/>
      <c r="H154" s="264"/>
      <c r="I154" s="264"/>
      <c r="J154" s="264"/>
      <c r="K154" s="264"/>
      <c r="L154" s="264"/>
      <c r="M154" s="264"/>
      <c r="N154" s="264"/>
      <c r="O154" s="264"/>
      <c r="P154" s="66"/>
      <c r="Q154" s="264"/>
      <c r="R154" s="66"/>
      <c r="S154" s="264"/>
      <c r="T154" s="264"/>
      <c r="U154" s="264"/>
      <c r="V154" s="264"/>
      <c r="W154" s="66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66"/>
      <c r="AP154" s="66"/>
      <c r="AQ154" s="264"/>
      <c r="AR154" s="264"/>
      <c r="AS154" s="264"/>
      <c r="AT154" s="66"/>
      <c r="AU154" s="264"/>
      <c r="AV154" s="264"/>
      <c r="AW154" s="264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66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  <c r="EV154" s="264"/>
      <c r="EW154" s="264"/>
      <c r="EX154" s="264"/>
    </row>
    <row r="155" spans="1:154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  <c r="EV155" s="264"/>
      <c r="EW155" s="264"/>
      <c r="EX155" s="264"/>
    </row>
    <row r="156" spans="1:154">
      <c r="A156" s="160"/>
      <c r="B156" s="1" t="s">
        <v>271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  <c r="EV156" s="264"/>
      <c r="EW156" s="264"/>
      <c r="EX156" s="264"/>
    </row>
    <row r="157" spans="1:154">
      <c r="A157" s="160"/>
      <c r="B157" s="1" t="s">
        <v>319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264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  <c r="EV157" s="264"/>
      <c r="EW157" s="264"/>
      <c r="EX157" s="264"/>
    </row>
    <row r="158" spans="1:154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  <c r="EV158" s="264"/>
      <c r="EW158" s="264"/>
      <c r="EX158" s="264"/>
    </row>
    <row r="159" spans="1:154">
      <c r="A159" s="160"/>
      <c r="B159" s="1" t="s">
        <v>271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66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  <c r="EV159" s="264"/>
      <c r="EW159" s="264"/>
      <c r="EX159" s="264"/>
    </row>
    <row r="160" spans="1:154">
      <c r="A160" s="160"/>
      <c r="B160" s="1" t="s">
        <v>320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66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66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66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  <c r="EV160" s="264"/>
      <c r="EW160" s="264"/>
      <c r="EX160" s="264"/>
    </row>
    <row r="161" spans="1:154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  <c r="EV161" s="264"/>
      <c r="EW161" s="264"/>
      <c r="EX161" s="264"/>
    </row>
    <row r="162" spans="1:154">
      <c r="A162" s="160"/>
      <c r="B162" s="1" t="s">
        <v>568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264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  <c r="EV162" s="264"/>
      <c r="EW162" s="264"/>
      <c r="EX162" s="264"/>
    </row>
    <row r="163" spans="1:154">
      <c r="A163" s="160"/>
      <c r="B163" s="1" t="s">
        <v>569</v>
      </c>
      <c r="C163" s="264"/>
      <c r="D163" s="264"/>
      <c r="E163" s="264"/>
      <c r="F163" s="66"/>
      <c r="G163" s="264"/>
      <c r="H163" s="66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66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  <c r="EV163" s="264"/>
      <c r="EW163" s="264"/>
      <c r="EX163" s="264"/>
    </row>
    <row r="164" spans="1:154">
      <c r="A164" s="160"/>
      <c r="B164" s="1" t="s">
        <v>570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  <c r="EV164" s="264"/>
      <c r="EW164" s="264"/>
      <c r="EX164" s="264"/>
    </row>
    <row r="165" spans="1:154">
      <c r="A165" s="160"/>
      <c r="B165" s="1" t="s">
        <v>571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264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  <c r="EV165" s="264"/>
      <c r="EW165" s="264"/>
      <c r="EX165" s="264"/>
    </row>
    <row r="166" spans="1:154">
      <c r="A166" s="160"/>
      <c r="B166" s="1" t="s">
        <v>623</v>
      </c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66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66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  <c r="EV166" s="264"/>
      <c r="EW166" s="264"/>
      <c r="EX166" s="264"/>
    </row>
    <row r="167" spans="1:154">
      <c r="A167" s="160"/>
      <c r="B167" s="1" t="s">
        <v>570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  <c r="EV167" s="264"/>
      <c r="EW167" s="264"/>
      <c r="EX167" s="264"/>
    </row>
    <row r="168" spans="1:154">
      <c r="A168" s="160"/>
      <c r="B168" s="1" t="s">
        <v>624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  <c r="EV168" s="264"/>
      <c r="EW168" s="264"/>
      <c r="EX168" s="264"/>
    </row>
    <row r="169" spans="1:154">
      <c r="A169" s="160"/>
      <c r="B169" s="1" t="s">
        <v>574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66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66"/>
      <c r="BC169" s="264"/>
      <c r="BD169" s="264"/>
      <c r="BE169" s="66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  <c r="EV169" s="264"/>
      <c r="EW169" s="264"/>
      <c r="EX169" s="264"/>
    </row>
    <row r="170" spans="1:154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  <c r="EV170" s="264"/>
      <c r="EW170" s="264"/>
      <c r="EX170" s="264"/>
    </row>
    <row r="171" spans="1:154">
      <c r="A171" s="160"/>
      <c r="B171" s="1" t="s">
        <v>648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66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264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  <c r="EV171" s="264"/>
      <c r="EW171" s="264"/>
      <c r="EX171" s="264"/>
    </row>
    <row r="172" spans="1:154">
      <c r="A172" s="160"/>
      <c r="B172" s="1" t="s">
        <v>575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264"/>
      <c r="U172" s="264"/>
      <c r="V172" s="264"/>
      <c r="W172" s="66"/>
      <c r="X172" s="264"/>
      <c r="Y172" s="264"/>
      <c r="Z172" s="264"/>
      <c r="AA172" s="264"/>
      <c r="AB172" s="264"/>
      <c r="AC172" s="264"/>
      <c r="AD172" s="264"/>
      <c r="AE172" s="66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264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264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  <c r="EV172" s="264"/>
      <c r="EW172" s="264"/>
      <c r="EX172" s="264"/>
    </row>
    <row r="173" spans="1:154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  <c r="EV173" s="264"/>
      <c r="EW173" s="264"/>
      <c r="EX173" s="264"/>
    </row>
    <row r="174" spans="1:154">
      <c r="A174" s="160"/>
      <c r="B174" s="1" t="s">
        <v>321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66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264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  <c r="EV174" s="264"/>
      <c r="EW174" s="264"/>
      <c r="EX174" s="264"/>
    </row>
    <row r="175" spans="1:154">
      <c r="A175" s="160"/>
      <c r="B175" s="1" t="s">
        <v>4</v>
      </c>
      <c r="C175" s="264"/>
      <c r="D175" s="264"/>
      <c r="E175" s="264"/>
      <c r="F175" s="66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66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66"/>
      <c r="AS175" s="264"/>
      <c r="AT175" s="264"/>
      <c r="AU175" s="66"/>
      <c r="AV175" s="264"/>
      <c r="AW175" s="66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66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264"/>
      <c r="DT175" s="264"/>
      <c r="DU175" s="66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  <c r="EV175" s="264"/>
      <c r="EW175" s="264"/>
      <c r="EX175" s="264"/>
    </row>
    <row r="176" spans="1:154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  <c r="EV176" s="264"/>
      <c r="EW176" s="264"/>
      <c r="EX176" s="264"/>
    </row>
    <row r="177" spans="1:154">
      <c r="A177" s="160"/>
      <c r="B177" s="1" t="s">
        <v>648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264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  <c r="EV177" s="264"/>
      <c r="EW177" s="264"/>
      <c r="EX177" s="264"/>
    </row>
    <row r="178" spans="1:154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264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  <c r="EV178" s="264"/>
      <c r="EW178" s="264"/>
      <c r="EX178" s="264"/>
    </row>
    <row r="179" spans="1:154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  <c r="EV179" s="264"/>
      <c r="EW179" s="264"/>
      <c r="EX179" s="264"/>
    </row>
    <row r="180" spans="1:154">
      <c r="A180" s="160"/>
      <c r="B180" s="1" t="s">
        <v>321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264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  <c r="EV180" s="264"/>
      <c r="EW180" s="264"/>
      <c r="EX180" s="264"/>
    </row>
    <row r="181" spans="1:154">
      <c r="A181" s="160"/>
      <c r="B181" s="1" t="s">
        <v>323</v>
      </c>
      <c r="C181" s="264"/>
      <c r="D181" s="264"/>
      <c r="E181" s="264"/>
      <c r="F181" s="264"/>
      <c r="G181" s="264"/>
      <c r="H181" s="264"/>
      <c r="I181" s="264"/>
      <c r="J181" s="264"/>
      <c r="K181" s="264"/>
      <c r="L181" s="264"/>
      <c r="M181" s="264"/>
      <c r="N181" s="264"/>
      <c r="O181" s="264"/>
      <c r="P181" s="264"/>
      <c r="Q181" s="264"/>
      <c r="R181" s="264"/>
      <c r="S181" s="264"/>
      <c r="T181" s="66"/>
      <c r="U181" s="264"/>
      <c r="V181" s="264"/>
      <c r="W181" s="264"/>
      <c r="X181" s="264"/>
      <c r="Y181" s="264"/>
      <c r="Z181" s="264"/>
      <c r="AA181" s="264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264"/>
      <c r="AS181" s="264"/>
      <c r="AT181" s="264"/>
      <c r="AU181" s="66"/>
      <c r="AV181" s="264"/>
      <c r="AW181" s="264"/>
      <c r="AX181" s="264"/>
      <c r="AY181" s="264"/>
      <c r="AZ181" s="66"/>
      <c r="BA181" s="264"/>
      <c r="BB181" s="264"/>
      <c r="BC181" s="264"/>
      <c r="BD181" s="264"/>
      <c r="BE181" s="264"/>
      <c r="BF181" s="264"/>
      <c r="BG181" s="264"/>
      <c r="BH181" s="264"/>
      <c r="BI181" s="264"/>
      <c r="BJ181" s="264"/>
      <c r="BK181" s="66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66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  <c r="EV181" s="264"/>
      <c r="EW181" s="264"/>
      <c r="EX181" s="264"/>
    </row>
    <row r="182" spans="1:154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  <c r="EV182" s="264"/>
      <c r="EW182" s="264"/>
      <c r="EX182" s="264"/>
    </row>
    <row r="183" spans="1:154">
      <c r="A183" s="160"/>
      <c r="B183" s="1" t="s">
        <v>648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  <c r="EV183" s="264"/>
      <c r="EW183" s="264"/>
      <c r="EX183" s="264"/>
    </row>
    <row r="184" spans="1:154">
      <c r="A184" s="160"/>
      <c r="B184" s="1" t="s">
        <v>6</v>
      </c>
      <c r="C184" s="264"/>
      <c r="D184" s="66"/>
      <c r="E184" s="264"/>
      <c r="F184" s="66"/>
      <c r="G184" s="264"/>
      <c r="H184" s="66"/>
      <c r="I184" s="264"/>
      <c r="J184" s="264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66"/>
      <c r="AB184" s="264"/>
      <c r="AC184" s="264"/>
      <c r="AD184" s="264"/>
      <c r="AE184" s="66"/>
      <c r="AF184" s="264"/>
      <c r="AG184" s="66"/>
      <c r="AH184" s="264"/>
      <c r="AI184" s="264"/>
      <c r="AJ184" s="264"/>
      <c r="AK184" s="264"/>
      <c r="AL184" s="264"/>
      <c r="AM184" s="264"/>
      <c r="AN184" s="264"/>
      <c r="AO184" s="264"/>
      <c r="AP184" s="264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  <c r="EV184" s="264"/>
      <c r="EW184" s="264"/>
      <c r="EX184" s="264"/>
    </row>
    <row r="185" spans="1:154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  <c r="EV185" s="264"/>
      <c r="EW185" s="264"/>
      <c r="EX185" s="264"/>
    </row>
    <row r="186" spans="1:154">
      <c r="A186" s="160"/>
      <c r="B186" s="1" t="s">
        <v>322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66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  <c r="EV186" s="264"/>
      <c r="EW186" s="264"/>
      <c r="EX186" s="264"/>
    </row>
    <row r="187" spans="1:154">
      <c r="A187" s="160"/>
      <c r="B187" s="1" t="s">
        <v>324</v>
      </c>
      <c r="C187" s="264"/>
      <c r="D187" s="66"/>
      <c r="E187" s="264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264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66"/>
      <c r="AS187" s="264"/>
      <c r="AT187" s="264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66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  <c r="EV187" s="264"/>
      <c r="EW187" s="264"/>
      <c r="EX187" s="264"/>
    </row>
    <row r="188" spans="1:154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  <c r="EV188" s="264"/>
      <c r="EW188" s="264"/>
      <c r="EX188" s="264"/>
    </row>
    <row r="189" spans="1:154">
      <c r="A189" s="160"/>
      <c r="B189" s="1" t="s">
        <v>322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  <c r="EV189" s="264"/>
      <c r="EW189" s="264"/>
      <c r="EX189" s="264"/>
    </row>
    <row r="190" spans="1:154">
      <c r="A190" s="160"/>
      <c r="B190" s="1" t="s">
        <v>487</v>
      </c>
      <c r="C190" s="264"/>
      <c r="D190" s="66"/>
      <c r="E190" s="264"/>
      <c r="F190" s="66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66"/>
      <c r="AQ190" s="264"/>
      <c r="AR190" s="264"/>
      <c r="AS190" s="264"/>
      <c r="AT190" s="264"/>
      <c r="AU190" s="66"/>
      <c r="AV190" s="264"/>
      <c r="AW190" s="66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  <c r="EV190" s="264"/>
      <c r="EW190" s="264"/>
      <c r="EX190" s="264"/>
    </row>
    <row r="191" spans="1:154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  <c r="EV191" s="264"/>
      <c r="EW191" s="264"/>
      <c r="EX191" s="264"/>
    </row>
    <row r="192" spans="1:154">
      <c r="A192" s="160"/>
      <c r="B192" s="1" t="s">
        <v>322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66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66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  <c r="EV192" s="264"/>
      <c r="EW192" s="264"/>
      <c r="EX192" s="264"/>
    </row>
    <row r="193" spans="1:154">
      <c r="A193" s="160"/>
      <c r="B193" s="1" t="s">
        <v>488</v>
      </c>
      <c r="C193" s="264"/>
      <c r="D193" s="66"/>
      <c r="E193" s="264"/>
      <c r="F193" s="264"/>
      <c r="G193" s="264"/>
      <c r="H193" s="264"/>
      <c r="I193" s="264"/>
      <c r="J193" s="66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66"/>
      <c r="AB193" s="264"/>
      <c r="AC193" s="264"/>
      <c r="AD193" s="264"/>
      <c r="AE193" s="264"/>
      <c r="AF193" s="264"/>
      <c r="AG193" s="66"/>
      <c r="AH193" s="264"/>
      <c r="AI193" s="264"/>
      <c r="AJ193" s="264"/>
      <c r="AK193" s="66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66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  <c r="EV193" s="264"/>
      <c r="EW193" s="264"/>
      <c r="EX193" s="264"/>
    </row>
    <row r="194" spans="1:154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  <c r="EV194" s="264"/>
      <c r="EW194" s="264"/>
      <c r="EX194" s="264"/>
    </row>
    <row r="195" spans="1:154">
      <c r="A195" s="160"/>
      <c r="B195" s="1" t="s">
        <v>280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  <c r="EV195" s="264"/>
      <c r="EW195" s="264"/>
      <c r="EX195" s="264"/>
    </row>
    <row r="196" spans="1:154">
      <c r="A196" s="160"/>
      <c r="B196" s="1" t="s">
        <v>325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66"/>
      <c r="AS196" s="264"/>
      <c r="AT196" s="264"/>
      <c r="AU196" s="66"/>
      <c r="AV196" s="264"/>
      <c r="AW196" s="264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264"/>
      <c r="DX196" s="264"/>
      <c r="DY196" s="66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  <c r="EV196" s="264"/>
      <c r="EW196" s="264"/>
      <c r="EX196" s="264"/>
    </row>
    <row r="197" spans="1:154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  <c r="EV197" s="264"/>
      <c r="EW197" s="264"/>
      <c r="EX197" s="264"/>
    </row>
    <row r="198" spans="1:154">
      <c r="A198" s="160"/>
      <c r="B198" s="1" t="s">
        <v>271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  <c r="EV198" s="264"/>
      <c r="EW198" s="264"/>
      <c r="EX198" s="264"/>
    </row>
    <row r="199" spans="1:154">
      <c r="A199" s="160"/>
      <c r="B199" s="1" t="s">
        <v>326</v>
      </c>
      <c r="C199" s="264"/>
      <c r="D199" s="66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66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264"/>
      <c r="AU199" s="66"/>
      <c r="AV199" s="264"/>
      <c r="AW199" s="264"/>
      <c r="AX199" s="264"/>
      <c r="AY199" s="264"/>
      <c r="AZ199" s="264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66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66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  <c r="EV199" s="264"/>
      <c r="EW199" s="264"/>
      <c r="EX199" s="264"/>
    </row>
    <row r="200" spans="1:154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  <c r="EV200" s="264"/>
      <c r="EW200" s="264"/>
      <c r="EX200" s="264"/>
    </row>
    <row r="201" spans="1:154">
      <c r="A201" s="160"/>
      <c r="B201" s="1" t="s">
        <v>576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264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  <c r="EV201" s="264"/>
      <c r="EW201" s="264"/>
      <c r="EX201" s="264"/>
    </row>
    <row r="202" spans="1:154">
      <c r="A202" s="160"/>
      <c r="B202" s="1" t="s">
        <v>577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  <c r="EV202" s="264"/>
      <c r="EW202" s="264"/>
      <c r="EX202" s="264"/>
    </row>
    <row r="203" spans="1:154">
      <c r="A203" s="160"/>
      <c r="B203" s="1" t="s">
        <v>570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  <c r="EV203" s="264"/>
      <c r="EW203" s="264"/>
      <c r="EX203" s="264"/>
    </row>
    <row r="204" spans="1:154">
      <c r="A204" s="160"/>
      <c r="B204" s="1" t="s">
        <v>625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264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  <c r="EV204" s="264"/>
      <c r="EW204" s="264"/>
      <c r="EX204" s="264"/>
    </row>
    <row r="205" spans="1:154">
      <c r="A205" s="160"/>
      <c r="B205" s="1" t="s">
        <v>537</v>
      </c>
      <c r="C205" s="264"/>
      <c r="D205" s="264"/>
      <c r="E205" s="264"/>
      <c r="F205" s="264"/>
      <c r="G205" s="264"/>
      <c r="H205" s="264"/>
      <c r="I205" s="264"/>
      <c r="J205" s="66"/>
      <c r="K205" s="264"/>
      <c r="L205" s="264"/>
      <c r="M205" s="264"/>
      <c r="N205" s="264"/>
      <c r="O205" s="264"/>
      <c r="P205" s="264"/>
      <c r="Q205" s="264"/>
      <c r="R205" s="66"/>
      <c r="S205" s="264"/>
      <c r="T205" s="264"/>
      <c r="U205" s="264"/>
      <c r="V205" s="264"/>
      <c r="W205" s="264"/>
      <c r="X205" s="264"/>
      <c r="Y205" s="66"/>
      <c r="Z205" s="264"/>
      <c r="AA205" s="66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66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264"/>
      <c r="AZ205" s="66"/>
      <c r="BA205" s="264"/>
      <c r="BB205" s="66"/>
      <c r="BC205" s="264"/>
      <c r="BD205" s="264"/>
      <c r="BE205" s="264"/>
      <c r="BF205" s="264"/>
      <c r="BG205" s="264"/>
      <c r="BH205" s="264"/>
      <c r="BI205" s="264"/>
      <c r="BJ205" s="264"/>
      <c r="BK205" s="66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66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  <c r="EV205" s="264"/>
      <c r="EW205" s="264"/>
      <c r="EX205" s="264"/>
    </row>
    <row r="206" spans="1:154">
      <c r="A206" s="160"/>
      <c r="B206" s="1" t="s">
        <v>570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  <c r="EV206" s="264"/>
      <c r="EW206" s="264"/>
      <c r="EX206" s="264"/>
    </row>
    <row r="207" spans="1:154">
      <c r="A207" s="160"/>
      <c r="B207" s="1" t="s">
        <v>626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  <c r="EV207" s="264"/>
      <c r="EW207" s="264"/>
      <c r="EX207" s="264"/>
    </row>
    <row r="208" spans="1:154">
      <c r="A208" s="160"/>
      <c r="B208" s="1" t="s">
        <v>537</v>
      </c>
      <c r="C208" s="264"/>
      <c r="D208" s="264"/>
      <c r="E208" s="264"/>
      <c r="F208" s="66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66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264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  <c r="EV208" s="264"/>
      <c r="EW208" s="264"/>
      <c r="EX208" s="264"/>
    </row>
    <row r="209" spans="1:154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  <c r="EV209" s="264"/>
      <c r="EW209" s="264"/>
      <c r="EX209" s="264"/>
    </row>
    <row r="210" spans="1:154">
      <c r="A210" s="160"/>
      <c r="B210" s="1" t="s">
        <v>271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264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  <c r="EV210" s="264"/>
      <c r="EW210" s="264"/>
      <c r="EX210" s="264"/>
    </row>
    <row r="211" spans="1:154">
      <c r="A211" s="160"/>
      <c r="B211" s="1" t="s">
        <v>327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66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264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66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  <c r="EV211" s="264"/>
      <c r="EW211" s="264"/>
      <c r="EX211" s="264"/>
    </row>
    <row r="212" spans="1:154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  <c r="EV212" s="264"/>
      <c r="EW212" s="264"/>
      <c r="EX212" s="264"/>
    </row>
    <row r="213" spans="1:154">
      <c r="A213" s="160"/>
      <c r="B213" s="1" t="s">
        <v>580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264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  <c r="EV213" s="264"/>
      <c r="EW213" s="264"/>
      <c r="EX213" s="264"/>
    </row>
    <row r="214" spans="1:154">
      <c r="A214" s="160"/>
      <c r="B214" s="1" t="s">
        <v>537</v>
      </c>
      <c r="C214" s="264"/>
      <c r="D214" s="264"/>
      <c r="E214" s="264"/>
      <c r="F214" s="264"/>
      <c r="G214" s="264"/>
      <c r="H214" s="66"/>
      <c r="I214" s="264"/>
      <c r="J214" s="264"/>
      <c r="K214" s="264"/>
      <c r="L214" s="264"/>
      <c r="M214" s="264"/>
      <c r="N214" s="264"/>
      <c r="O214" s="264"/>
      <c r="P214" s="264"/>
      <c r="Q214" s="264"/>
      <c r="R214" s="66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66"/>
      <c r="AF214" s="264"/>
      <c r="AG214" s="66"/>
      <c r="AH214" s="264"/>
      <c r="AI214" s="264"/>
      <c r="AJ214" s="264"/>
      <c r="AK214" s="264"/>
      <c r="AL214" s="264"/>
      <c r="AM214" s="264"/>
      <c r="AN214" s="264"/>
      <c r="AO214" s="66"/>
      <c r="AP214" s="66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264"/>
      <c r="BG214" s="264"/>
      <c r="BH214" s="66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  <c r="EV214" s="264"/>
      <c r="EW214" s="264"/>
      <c r="EX214" s="264"/>
    </row>
    <row r="215" spans="1:154">
      <c r="A215" s="160"/>
      <c r="B215" s="1" t="s">
        <v>570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  <c r="EV215" s="264"/>
      <c r="EW215" s="264"/>
      <c r="EX215" s="264"/>
    </row>
    <row r="216" spans="1:154">
      <c r="A216" s="160"/>
      <c r="B216" s="1" t="s">
        <v>627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  <c r="EV216" s="264"/>
      <c r="EW216" s="264"/>
      <c r="EX216" s="264"/>
    </row>
    <row r="217" spans="1:154">
      <c r="A217" s="160"/>
      <c r="B217" s="1" t="s">
        <v>611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66"/>
      <c r="Q217" s="264"/>
      <c r="R217" s="66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66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  <c r="EV217" s="264"/>
      <c r="EW217" s="264"/>
      <c r="EX217" s="264"/>
    </row>
    <row r="218" spans="1:154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  <c r="EV218" s="264"/>
      <c r="EW218" s="264"/>
      <c r="EX218" s="264"/>
    </row>
    <row r="219" spans="1:154">
      <c r="A219" s="160"/>
      <c r="B219" s="1" t="s">
        <v>321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  <c r="EV219" s="264"/>
      <c r="EW219" s="264"/>
      <c r="EX219" s="264"/>
    </row>
    <row r="220" spans="1:154">
      <c r="A220" s="160"/>
      <c r="B220" s="1" t="s">
        <v>7</v>
      </c>
      <c r="C220" s="264"/>
      <c r="D220" s="264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264"/>
      <c r="Q220" s="264"/>
      <c r="R220" s="66"/>
      <c r="S220" s="264"/>
      <c r="T220" s="66"/>
      <c r="U220" s="264"/>
      <c r="V220" s="264"/>
      <c r="W220" s="264"/>
      <c r="X220" s="264"/>
      <c r="Y220" s="264"/>
      <c r="Z220" s="264"/>
      <c r="AA220" s="66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66"/>
      <c r="AL220" s="264"/>
      <c r="AM220" s="264"/>
      <c r="AN220" s="264"/>
      <c r="AO220" s="66"/>
      <c r="AP220" s="66"/>
      <c r="AQ220" s="264"/>
      <c r="AR220" s="264"/>
      <c r="AS220" s="264"/>
      <c r="AT220" s="66"/>
      <c r="AU220" s="264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  <c r="EV220" s="264"/>
      <c r="EW220" s="264"/>
      <c r="EX220" s="264"/>
    </row>
    <row r="221" spans="1:154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  <c r="EV221" s="264"/>
      <c r="EW221" s="264"/>
      <c r="EX221" s="264"/>
    </row>
    <row r="222" spans="1:154">
      <c r="A222" s="160"/>
      <c r="B222" s="1" t="s">
        <v>322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264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264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  <c r="EV222" s="264"/>
      <c r="EW222" s="264"/>
      <c r="EX222" s="264"/>
    </row>
    <row r="223" spans="1:154">
      <c r="A223" s="160"/>
      <c r="B223" s="1" t="s">
        <v>328</v>
      </c>
      <c r="C223" s="264"/>
      <c r="D223" s="264"/>
      <c r="E223" s="264"/>
      <c r="F223" s="264"/>
      <c r="G223" s="264"/>
      <c r="H223" s="264"/>
      <c r="I223" s="264"/>
      <c r="J223" s="66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  <c r="AA223" s="66"/>
      <c r="AB223" s="264"/>
      <c r="AC223" s="264"/>
      <c r="AD223" s="264"/>
      <c r="AE223" s="264"/>
      <c r="AF223" s="264"/>
      <c r="AG223" s="66"/>
      <c r="AH223" s="264"/>
      <c r="AI223" s="264"/>
      <c r="AJ223" s="264"/>
      <c r="AK223" s="66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66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  <c r="EV223" s="264"/>
      <c r="EW223" s="264"/>
      <c r="EX223" s="264"/>
    </row>
    <row r="224" spans="1:154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  <c r="EV224" s="264"/>
      <c r="EW224" s="264"/>
      <c r="EX224" s="264"/>
    </row>
    <row r="225" spans="1:154">
      <c r="A225" s="160"/>
      <c r="B225" s="1" t="s">
        <v>271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264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264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  <c r="EV225" s="264"/>
      <c r="EW225" s="264"/>
      <c r="EX225" s="264"/>
    </row>
    <row r="226" spans="1:154">
      <c r="A226" s="160"/>
      <c r="B226" s="1" t="s">
        <v>329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264"/>
      <c r="AB226" s="264"/>
      <c r="AC226" s="264"/>
      <c r="AD226" s="264"/>
      <c r="AE226" s="264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66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  <c r="EV226" s="264"/>
      <c r="EW226" s="264"/>
      <c r="EX226" s="264"/>
    </row>
    <row r="227" spans="1:154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  <c r="EV227" s="264"/>
      <c r="EW227" s="264"/>
      <c r="EX227" s="264"/>
    </row>
    <row r="228" spans="1:154">
      <c r="A228" s="160"/>
      <c r="B228" s="1" t="s">
        <v>582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66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264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  <c r="EV228" s="264"/>
      <c r="EW228" s="264"/>
      <c r="EX228" s="264"/>
    </row>
    <row r="229" spans="1:154">
      <c r="A229" s="160"/>
      <c r="B229" s="1" t="s">
        <v>550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66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  <c r="EV229" s="264"/>
      <c r="EW229" s="264"/>
      <c r="EX229" s="264"/>
    </row>
    <row r="230" spans="1:154">
      <c r="A230" s="160"/>
      <c r="B230" s="1" t="s">
        <v>570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  <c r="EV230" s="264"/>
      <c r="EW230" s="264"/>
      <c r="EX230" s="264"/>
    </row>
    <row r="231" spans="1:154">
      <c r="A231" s="160"/>
      <c r="B231" s="1" t="s">
        <v>628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  <c r="EV231" s="264"/>
      <c r="EW231" s="264"/>
      <c r="EX231" s="264"/>
    </row>
    <row r="232" spans="1:154">
      <c r="A232" s="160"/>
      <c r="B232" s="1" t="s">
        <v>611</v>
      </c>
      <c r="C232" s="264"/>
      <c r="D232" s="264"/>
      <c r="E232" s="264"/>
      <c r="F232" s="264"/>
      <c r="G232" s="264"/>
      <c r="H232" s="66"/>
      <c r="I232" s="264"/>
      <c r="J232" s="66"/>
      <c r="K232" s="264"/>
      <c r="L232" s="66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66"/>
      <c r="Z232" s="264"/>
      <c r="AA232" s="264"/>
      <c r="AB232" s="264"/>
      <c r="AC232" s="264"/>
      <c r="AD232" s="264"/>
      <c r="AE232" s="66"/>
      <c r="AF232" s="264"/>
      <c r="AG232" s="66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66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  <c r="EV232" s="264"/>
      <c r="EW232" s="264"/>
      <c r="EX232" s="264"/>
    </row>
    <row r="233" spans="1:154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  <c r="EV233" s="264"/>
      <c r="EW233" s="264"/>
      <c r="EX233" s="264"/>
    </row>
    <row r="234" spans="1:154">
      <c r="A234" s="160"/>
      <c r="B234" s="1" t="s">
        <v>271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66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264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  <c r="EV234" s="264"/>
      <c r="EW234" s="264"/>
      <c r="EX234" s="264"/>
    </row>
    <row r="235" spans="1:154">
      <c r="A235" s="160"/>
      <c r="B235" s="1" t="s">
        <v>330</v>
      </c>
      <c r="C235" s="264"/>
      <c r="D235" s="264"/>
      <c r="E235" s="264"/>
      <c r="F235" s="66"/>
      <c r="G235" s="264"/>
      <c r="H235" s="264"/>
      <c r="I235" s="264"/>
      <c r="J235" s="264"/>
      <c r="K235" s="264"/>
      <c r="L235" s="264"/>
      <c r="M235" s="264"/>
      <c r="N235" s="264"/>
      <c r="O235" s="264"/>
      <c r="P235" s="66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66"/>
      <c r="AV235" s="264"/>
      <c r="AW235" s="264"/>
      <c r="AX235" s="264"/>
      <c r="AY235" s="264"/>
      <c r="AZ235" s="264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66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  <c r="EV235" s="264"/>
      <c r="EW235" s="264"/>
      <c r="EX235" s="264"/>
    </row>
    <row r="236" spans="1:154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  <c r="EV236" s="264"/>
      <c r="EW236" s="264"/>
      <c r="EX236" s="264"/>
    </row>
    <row r="237" spans="1:154">
      <c r="A237" s="160"/>
      <c r="B237" s="1" t="s">
        <v>322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66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264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  <c r="EV237" s="264"/>
      <c r="EW237" s="264"/>
      <c r="EX237" s="264"/>
    </row>
    <row r="238" spans="1:154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264"/>
      <c r="M238" s="264"/>
      <c r="N238" s="264"/>
      <c r="O238" s="264"/>
      <c r="P238" s="264"/>
      <c r="Q238" s="264"/>
      <c r="R238" s="264"/>
      <c r="S238" s="264"/>
      <c r="T238" s="66"/>
      <c r="U238" s="264"/>
      <c r="V238" s="264"/>
      <c r="W238" s="66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  <c r="EV238" s="264"/>
      <c r="EW238" s="264"/>
      <c r="EX238" s="264"/>
    </row>
    <row r="239" spans="1:154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  <c r="EV239" s="264"/>
      <c r="EW239" s="264"/>
      <c r="EX239" s="264"/>
    </row>
    <row r="240" spans="1:154">
      <c r="A240" s="160"/>
      <c r="B240" s="1" t="s">
        <v>271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66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264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  <c r="EV240" s="264"/>
      <c r="EW240" s="264"/>
      <c r="EX240" s="264"/>
    </row>
    <row r="241" spans="1:154">
      <c r="A241" s="160"/>
      <c r="B241" s="1" t="s">
        <v>331</v>
      </c>
      <c r="C241" s="264"/>
      <c r="D241" s="66"/>
      <c r="E241" s="264"/>
      <c r="F241" s="66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264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66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  <c r="EV241" s="264"/>
      <c r="EW241" s="264"/>
      <c r="EX241" s="264"/>
    </row>
    <row r="242" spans="1:154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  <c r="EV242" s="264"/>
      <c r="EW242" s="264"/>
      <c r="EX242" s="264"/>
    </row>
    <row r="243" spans="1:154">
      <c r="A243" s="160"/>
      <c r="B243" s="1" t="s">
        <v>584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66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  <c r="EV243" s="264"/>
      <c r="EW243" s="264"/>
      <c r="EX243" s="264"/>
    </row>
    <row r="244" spans="1:154">
      <c r="A244" s="160"/>
      <c r="B244" s="1" t="s">
        <v>577</v>
      </c>
      <c r="C244" s="264"/>
      <c r="D244" s="264"/>
      <c r="E244" s="264"/>
      <c r="F244" s="264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66"/>
      <c r="S244" s="264"/>
      <c r="T244" s="264"/>
      <c r="U244" s="264"/>
      <c r="V244" s="264"/>
      <c r="W244" s="264"/>
      <c r="X244" s="264"/>
      <c r="Y244" s="264"/>
      <c r="Z244" s="264"/>
      <c r="AA244" s="66"/>
      <c r="AB244" s="264"/>
      <c r="AC244" s="264"/>
      <c r="AD244" s="264"/>
      <c r="AE244" s="264"/>
      <c r="AF244" s="264"/>
      <c r="AG244" s="66"/>
      <c r="AH244" s="264"/>
      <c r="AI244" s="264"/>
      <c r="AJ244" s="264"/>
      <c r="AK244" s="264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66"/>
      <c r="AV244" s="264"/>
      <c r="AW244" s="264"/>
      <c r="AX244" s="264"/>
      <c r="AY244" s="264"/>
      <c r="AZ244" s="66"/>
      <c r="BA244" s="264"/>
      <c r="BB244" s="66"/>
      <c r="BC244" s="264"/>
      <c r="BD244" s="264"/>
      <c r="BE244" s="66"/>
      <c r="BF244" s="264"/>
      <c r="BG244" s="264"/>
      <c r="BH244" s="66"/>
      <c r="BI244" s="264"/>
      <c r="BJ244" s="264"/>
      <c r="BK244" s="66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66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  <c r="EV244" s="264"/>
      <c r="EW244" s="264"/>
      <c r="EX244" s="264"/>
    </row>
    <row r="245" spans="1:154">
      <c r="A245" s="160"/>
      <c r="B245" s="1" t="s">
        <v>570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  <c r="EV245" s="264"/>
      <c r="EW245" s="264"/>
      <c r="EX245" s="264"/>
    </row>
    <row r="246" spans="1:154">
      <c r="A246" s="160"/>
      <c r="B246" s="1" t="s">
        <v>629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  <c r="EV246" s="264"/>
      <c r="EW246" s="264"/>
      <c r="EX246" s="264"/>
    </row>
    <row r="247" spans="1:154">
      <c r="A247" s="160"/>
      <c r="B247" s="1" t="s">
        <v>550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66"/>
      <c r="M247" s="264"/>
      <c r="N247" s="264"/>
      <c r="O247" s="264"/>
      <c r="P247" s="66"/>
      <c r="Q247" s="264"/>
      <c r="R247" s="66"/>
      <c r="S247" s="264"/>
      <c r="T247" s="66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264"/>
      <c r="AU247" s="264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  <c r="EV247" s="264"/>
      <c r="EW247" s="264"/>
      <c r="EX247" s="264"/>
    </row>
    <row r="248" spans="1:154">
      <c r="A248" s="160"/>
      <c r="B248" s="1" t="s">
        <v>570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  <c r="EV248" s="264"/>
      <c r="EW248" s="264"/>
      <c r="EX248" s="264"/>
    </row>
    <row r="249" spans="1:154">
      <c r="A249" s="160"/>
      <c r="B249" s="1" t="s">
        <v>630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  <c r="EV249" s="264"/>
      <c r="EW249" s="264"/>
      <c r="EX249" s="264"/>
    </row>
    <row r="250" spans="1:154">
      <c r="A250" s="160"/>
      <c r="B250" s="1" t="s">
        <v>537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  <c r="EV250" s="264"/>
      <c r="EW250" s="264"/>
      <c r="EX250" s="264"/>
    </row>
    <row r="251" spans="1:154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  <c r="EV251" s="264"/>
      <c r="EW251" s="264"/>
      <c r="EX251" s="264"/>
    </row>
    <row r="252" spans="1:154">
      <c r="A252" s="160"/>
      <c r="B252" s="1" t="s">
        <v>280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66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264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  <c r="EV252" s="264"/>
      <c r="EW252" s="264"/>
      <c r="EX252" s="264"/>
    </row>
    <row r="253" spans="1:154">
      <c r="A253" s="160"/>
      <c r="B253" s="1" t="s">
        <v>332</v>
      </c>
      <c r="C253" s="264"/>
      <c r="D253" s="264"/>
      <c r="E253" s="264"/>
      <c r="F253" s="66"/>
      <c r="G253" s="264"/>
      <c r="H253" s="264"/>
      <c r="I253" s="264"/>
      <c r="J253" s="264"/>
      <c r="K253" s="264"/>
      <c r="L253" s="264"/>
      <c r="M253" s="264"/>
      <c r="N253" s="264"/>
      <c r="O253" s="264"/>
      <c r="P253" s="66"/>
      <c r="Q253" s="264"/>
      <c r="R253" s="264"/>
      <c r="S253" s="264"/>
      <c r="T253" s="66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66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264"/>
      <c r="EB253" s="264"/>
      <c r="EC253" s="66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  <c r="EV253" s="264"/>
      <c r="EW253" s="264"/>
      <c r="EX253" s="264"/>
    </row>
    <row r="254" spans="1:154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  <c r="EV254" s="264"/>
      <c r="EW254" s="264"/>
      <c r="EX254" s="264"/>
    </row>
    <row r="255" spans="1:154">
      <c r="A255" s="160"/>
      <c r="B255" s="1" t="s">
        <v>335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264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  <c r="EV255" s="264"/>
      <c r="EW255" s="264"/>
      <c r="EX255" s="264"/>
    </row>
    <row r="256" spans="1:154">
      <c r="A256" s="160"/>
      <c r="B256" s="1" t="s">
        <v>336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66"/>
      <c r="DZ256" s="264"/>
      <c r="EA256" s="66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  <c r="EV256" s="264"/>
      <c r="EW256" s="264"/>
      <c r="EX256" s="264"/>
    </row>
    <row r="257" spans="1:154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  <c r="EV257" s="264"/>
      <c r="EW257" s="264"/>
      <c r="EX257" s="264"/>
    </row>
    <row r="258" spans="1:154">
      <c r="A258" s="160"/>
      <c r="B258" s="160"/>
      <c r="AP258" s="66"/>
      <c r="AU258" s="66"/>
      <c r="AZ258" s="66"/>
      <c r="BL258" s="66"/>
      <c r="ED258" s="66"/>
    </row>
    <row r="259" spans="1:154">
      <c r="A259" s="160"/>
      <c r="B259" s="160"/>
      <c r="D259" s="66"/>
      <c r="H259" s="66"/>
      <c r="Y259" s="66"/>
      <c r="AA259" s="66"/>
      <c r="AK259" s="66"/>
      <c r="AO259" s="66"/>
      <c r="AP259" s="66"/>
      <c r="AU259" s="66"/>
      <c r="BE259" s="66"/>
      <c r="BL259" s="66"/>
      <c r="ED259" s="66"/>
    </row>
    <row r="260" spans="1:154">
      <c r="A260" s="160"/>
      <c r="B260" s="160"/>
    </row>
    <row r="261" spans="1:154">
      <c r="A261" s="160"/>
      <c r="B261" s="160"/>
      <c r="AP261" s="66"/>
      <c r="AU261" s="66"/>
      <c r="CT261" s="66"/>
    </row>
    <row r="262" spans="1:154">
      <c r="A262" s="160"/>
      <c r="B262" s="160"/>
      <c r="L262" s="66"/>
      <c r="T262" s="66"/>
      <c r="AP262" s="66"/>
      <c r="AT262" s="66"/>
      <c r="AU262" s="66"/>
      <c r="AY262" s="66"/>
      <c r="AZ262" s="66"/>
      <c r="BE262" s="66"/>
      <c r="BK262" s="66"/>
      <c r="BL262" s="66"/>
    </row>
    <row r="263" spans="1:154">
      <c r="A263" s="160"/>
      <c r="B263" s="160"/>
    </row>
    <row r="264" spans="1:154">
      <c r="A264" s="160"/>
      <c r="B264" s="160"/>
    </row>
    <row r="265" spans="1:154">
      <c r="A265" s="160"/>
      <c r="B265" s="160"/>
    </row>
    <row r="266" spans="1:154">
      <c r="A266" s="160"/>
      <c r="B266" s="160"/>
    </row>
    <row r="267" spans="1:154">
      <c r="A267" s="160"/>
      <c r="B267" s="160"/>
      <c r="AU267" s="66"/>
      <c r="AZ267" s="66"/>
      <c r="BL267" s="66"/>
      <c r="CT267" s="66"/>
      <c r="ED267" s="66"/>
    </row>
    <row r="268" spans="1:154">
      <c r="A268" s="160"/>
      <c r="B268" s="160"/>
      <c r="L268" s="66"/>
      <c r="AA268" s="66"/>
      <c r="AM268" s="66"/>
      <c r="AU268" s="66"/>
      <c r="AZ268" s="66"/>
      <c r="BE268" s="66"/>
      <c r="BH268" s="66"/>
      <c r="BL268" s="66"/>
      <c r="CT268" s="66"/>
      <c r="DI268" s="66"/>
      <c r="EC268" s="66"/>
    </row>
    <row r="269" spans="1:154">
      <c r="A269" s="160"/>
      <c r="B269" s="160"/>
    </row>
    <row r="270" spans="1:154">
      <c r="AP270" s="66"/>
      <c r="AU270" s="66"/>
      <c r="AZ270" s="66"/>
      <c r="BL270" s="66"/>
    </row>
    <row r="271" spans="1:154">
      <c r="F271" s="66"/>
      <c r="H271" s="66"/>
      <c r="J271" s="66"/>
      <c r="L271" s="66"/>
      <c r="P271" s="66"/>
      <c r="AA271" s="66"/>
      <c r="AE271" s="66"/>
      <c r="AO271" s="66"/>
      <c r="AP271" s="66"/>
      <c r="AR271" s="66"/>
      <c r="AT271" s="66"/>
      <c r="AU271" s="66"/>
      <c r="BB271" s="66"/>
      <c r="BE271" s="66"/>
      <c r="BH271" s="66"/>
      <c r="CT271" s="66"/>
    </row>
    <row r="273" spans="4:134">
      <c r="AP273" s="66"/>
      <c r="AU273" s="66"/>
      <c r="BL273" s="66"/>
    </row>
    <row r="274" spans="4:134">
      <c r="D274" s="66"/>
      <c r="F274" s="66"/>
      <c r="H274" s="66"/>
      <c r="P274" s="66"/>
      <c r="AE274" s="66"/>
      <c r="AU274" s="66"/>
      <c r="BH274" s="66"/>
      <c r="BK274" s="66"/>
      <c r="BL274" s="66"/>
      <c r="DY274" s="66"/>
      <c r="EA274" s="66"/>
    </row>
    <row r="276" spans="4:134">
      <c r="AU276" s="66"/>
      <c r="AZ276" s="66"/>
      <c r="BF276" s="66"/>
      <c r="BL276" s="66"/>
      <c r="CT276" s="66"/>
      <c r="ED276" s="66"/>
    </row>
    <row r="277" spans="4:134">
      <c r="F277" s="66"/>
      <c r="H277" s="66"/>
      <c r="L277" s="66"/>
      <c r="AA277" s="66"/>
      <c r="AE277" s="66"/>
      <c r="AO277" s="66"/>
      <c r="AR277" s="66"/>
      <c r="AT277" s="66"/>
      <c r="AU277" s="66"/>
      <c r="AY277" s="66"/>
      <c r="AZ277" s="66"/>
      <c r="BB277" s="66"/>
      <c r="BE277" s="66"/>
      <c r="BH277" s="66"/>
      <c r="BL277" s="66"/>
      <c r="CT277" s="66"/>
      <c r="DS277" s="66"/>
      <c r="DU277" s="66"/>
      <c r="DW277" s="66"/>
      <c r="ED277" s="66"/>
    </row>
    <row r="279" spans="4:134">
      <c r="AU279" s="66"/>
      <c r="AZ279" s="66"/>
      <c r="BF279" s="66"/>
      <c r="BL279" s="66"/>
      <c r="CT279" s="66"/>
    </row>
    <row r="280" spans="4:134">
      <c r="P280" s="66"/>
      <c r="T280" s="66"/>
      <c r="AM280" s="66"/>
      <c r="AU280" s="66"/>
      <c r="AW280" s="66"/>
      <c r="AZ280" s="66"/>
      <c r="BB280" s="66"/>
      <c r="BF280" s="66"/>
      <c r="BL280" s="66"/>
      <c r="CT280" s="66"/>
      <c r="ED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167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1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1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3"/>
      <c r="AC4" s="363"/>
      <c r="AD4" s="7" t="s">
        <v>0</v>
      </c>
      <c r="AE4" s="7" t="s">
        <v>236</v>
      </c>
      <c r="AF4" s="7" t="s">
        <v>0</v>
      </c>
      <c r="AG4" s="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1" s="6" customFormat="1">
      <c r="A5" s="367"/>
      <c r="B5" s="368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4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66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66"/>
      <c r="AL7" s="264"/>
      <c r="AM7" s="264"/>
      <c r="AN7" s="264"/>
      <c r="AO7" s="264"/>
      <c r="AP7" s="66"/>
      <c r="AQ7" s="264"/>
      <c r="AR7" s="264"/>
      <c r="AS7" s="264"/>
      <c r="AT7" s="264"/>
      <c r="AU7" s="264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66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66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/>
      <c r="D10" s="66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66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66"/>
      <c r="AL10" s="264"/>
      <c r="AM10" s="264"/>
      <c r="AN10" s="264"/>
      <c r="AO10" s="264"/>
      <c r="AP10" s="66"/>
      <c r="AQ10" s="264"/>
      <c r="AR10" s="264"/>
      <c r="AS10" s="264"/>
      <c r="AT10" s="264"/>
      <c r="AU10" s="264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66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66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66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66"/>
      <c r="AP16" s="66"/>
      <c r="AQ16" s="264"/>
      <c r="AR16" s="264"/>
      <c r="AS16" s="264"/>
      <c r="AT16" s="66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264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/>
      <c r="D22" s="264"/>
      <c r="E22" s="264"/>
      <c r="F22" s="264"/>
      <c r="G22" s="264"/>
      <c r="H22" s="264"/>
      <c r="I22" s="264"/>
      <c r="J22" s="66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66"/>
      <c r="Z22" s="264"/>
      <c r="AA22" s="66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66"/>
      <c r="AP22" s="66"/>
      <c r="AQ22" s="264"/>
      <c r="AR22" s="264"/>
      <c r="AS22" s="264"/>
      <c r="AT22" s="264"/>
      <c r="AU22" s="66"/>
      <c r="AV22" s="264"/>
      <c r="AW22" s="264"/>
      <c r="AX22" s="264"/>
      <c r="AY22" s="264"/>
      <c r="AZ22" s="66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66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/>
      <c r="D25" s="66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66"/>
      <c r="AX25" s="264"/>
      <c r="AY25" s="66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66"/>
      <c r="BL25" s="264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66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264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/>
      <c r="D28" s="66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264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/>
      <c r="D31" s="66"/>
      <c r="E31" s="264"/>
      <c r="F31" s="66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66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66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66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264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264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66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66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4" t="s">
        <v>1152</v>
      </c>
      <c r="C37" s="264"/>
      <c r="D37" s="264"/>
      <c r="E37" s="264"/>
      <c r="F37" s="66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66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66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66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66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66"/>
      <c r="AQ42" s="264"/>
      <c r="AR42" s="264"/>
      <c r="AS42" s="264"/>
      <c r="AT42" s="264"/>
      <c r="AU42" s="264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66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66"/>
      <c r="AQ43" s="264"/>
      <c r="AR43" s="264"/>
      <c r="AS43" s="264"/>
      <c r="AT43" s="264"/>
      <c r="AU43" s="66"/>
      <c r="AV43" s="264"/>
      <c r="AW43" s="264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66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66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66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66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264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66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4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66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66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264"/>
      <c r="E58" s="264"/>
      <c r="F58" s="66"/>
      <c r="G58" s="264"/>
      <c r="H58" s="264"/>
      <c r="I58" s="264"/>
      <c r="J58" s="264"/>
      <c r="K58" s="264"/>
      <c r="L58" s="66"/>
      <c r="M58" s="264"/>
      <c r="N58" s="264"/>
      <c r="O58" s="264"/>
      <c r="P58" s="66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66"/>
      <c r="AJ58" s="264"/>
      <c r="AK58" s="264"/>
      <c r="AL58" s="264"/>
      <c r="AM58" s="264"/>
      <c r="AN58" s="264"/>
      <c r="AO58" s="66"/>
      <c r="AP58" s="264"/>
      <c r="AQ58" s="264"/>
      <c r="AR58" s="66"/>
      <c r="AS58" s="264"/>
      <c r="AT58" s="264"/>
      <c r="AU58" s="66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66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264"/>
      <c r="BG60" s="264"/>
      <c r="BH60" s="264"/>
      <c r="BI60" s="264"/>
      <c r="BJ60" s="264"/>
      <c r="BK60" s="264"/>
      <c r="BL60" s="264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66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66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66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/>
      <c r="D64" s="264"/>
      <c r="E64" s="264"/>
      <c r="F64" s="264"/>
      <c r="G64" s="264"/>
      <c r="H64" s="264"/>
      <c r="I64" s="264"/>
      <c r="J64" s="264"/>
      <c r="K64" s="264"/>
      <c r="L64" s="66"/>
      <c r="M64" s="264"/>
      <c r="N64" s="264"/>
      <c r="O64" s="264"/>
      <c r="P64" s="264"/>
      <c r="Q64" s="264"/>
      <c r="R64" s="264"/>
      <c r="S64" s="264"/>
      <c r="T64" s="66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66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264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/>
      <c r="D67" s="264"/>
      <c r="E67" s="264"/>
      <c r="F67" s="66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66"/>
      <c r="AV67" s="264"/>
      <c r="AW67" s="66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66"/>
      <c r="CU67" s="264"/>
      <c r="CV67" s="264"/>
      <c r="CW67" s="264"/>
      <c r="CX67" s="66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264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66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66"/>
      <c r="AV69" s="264"/>
      <c r="AW69" s="264"/>
      <c r="AX69" s="264"/>
      <c r="AY69" s="264"/>
      <c r="AZ69" s="264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66"/>
      <c r="CU69" s="264"/>
      <c r="CV69" s="264"/>
      <c r="CW69" s="264"/>
      <c r="CX69" s="66"/>
      <c r="CY69" s="264"/>
      <c r="CZ69" s="264"/>
      <c r="DA69" s="264"/>
      <c r="DB69" s="66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66"/>
      <c r="AF70" s="264"/>
      <c r="AG70" s="66"/>
      <c r="AH70" s="264"/>
      <c r="AI70" s="66"/>
      <c r="AJ70" s="264"/>
      <c r="AK70" s="264"/>
      <c r="AL70" s="264"/>
      <c r="AM70" s="264"/>
      <c r="AN70" s="264"/>
      <c r="AO70" s="264"/>
      <c r="AP70" s="264"/>
      <c r="AQ70" s="264"/>
      <c r="AR70" s="66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66"/>
      <c r="BG70" s="264"/>
      <c r="BH70" s="264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66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66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264"/>
      <c r="ED73" s="66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66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264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66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264"/>
      <c r="E76" s="264"/>
      <c r="F76" s="264"/>
      <c r="G76" s="264"/>
      <c r="H76" s="264"/>
      <c r="I76" s="264"/>
      <c r="J76" s="66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66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66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66"/>
      <c r="DV76" s="264"/>
      <c r="DW76" s="264"/>
      <c r="DX76" s="264"/>
      <c r="DY76" s="264"/>
      <c r="DZ76" s="264"/>
      <c r="EA76" s="264"/>
      <c r="EB76" s="264"/>
      <c r="EC76" s="264"/>
      <c r="ED76" s="66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264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/>
      <c r="D79" s="66"/>
      <c r="E79" s="264"/>
      <c r="F79" s="264"/>
      <c r="G79" s="264"/>
      <c r="H79" s="66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66"/>
      <c r="AP79" s="264"/>
      <c r="AQ79" s="264"/>
      <c r="AR79" s="264"/>
      <c r="AS79" s="264"/>
      <c r="AT79" s="264"/>
      <c r="AU79" s="66"/>
      <c r="AV79" s="264"/>
      <c r="AW79" s="264"/>
      <c r="AX79" s="264"/>
      <c r="AY79" s="66"/>
      <c r="AZ79" s="264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264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/>
      <c r="D82" s="264"/>
      <c r="E82" s="264"/>
      <c r="F82" s="264"/>
      <c r="G82" s="264"/>
      <c r="H82" s="66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66"/>
      <c r="AB82" s="264"/>
      <c r="AC82" s="264"/>
      <c r="AD82" s="264"/>
      <c r="AE82" s="66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66"/>
      <c r="AU82" s="66"/>
      <c r="AV82" s="264"/>
      <c r="AW82" s="66"/>
      <c r="AX82" s="264"/>
      <c r="AY82" s="264"/>
      <c r="AZ82" s="264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264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264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4" t="s">
        <v>1171</v>
      </c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66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66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66"/>
      <c r="AZ85" s="66"/>
      <c r="BA85" s="264"/>
      <c r="BB85" s="264"/>
      <c r="BC85" s="264"/>
      <c r="BD85" s="264"/>
      <c r="BE85" s="264"/>
      <c r="BF85" s="66"/>
      <c r="BG85" s="264"/>
      <c r="BH85" s="66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264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264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66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/>
      <c r="D88" s="264"/>
      <c r="E88" s="264"/>
      <c r="F88" s="264"/>
      <c r="G88" s="264"/>
      <c r="H88" s="66"/>
      <c r="I88" s="264"/>
      <c r="J88" s="264"/>
      <c r="K88" s="264"/>
      <c r="L88" s="66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66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264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66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66"/>
      <c r="S91" s="264"/>
      <c r="T91" s="66"/>
      <c r="U91" s="264"/>
      <c r="V91" s="264"/>
      <c r="W91" s="264"/>
      <c r="X91" s="264"/>
      <c r="Y91" s="264"/>
      <c r="Z91" s="264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66"/>
      <c r="AS91" s="264"/>
      <c r="AT91" s="264"/>
      <c r="AU91" s="264"/>
      <c r="AV91" s="264"/>
      <c r="AW91" s="264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264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264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66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66"/>
      <c r="S94" s="264"/>
      <c r="T94" s="66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66"/>
      <c r="BA94" s="264"/>
      <c r="BB94" s="264"/>
      <c r="BC94" s="264"/>
      <c r="BD94" s="264"/>
      <c r="BE94" s="66"/>
      <c r="BF94" s="66"/>
      <c r="BG94" s="264"/>
      <c r="BH94" s="264"/>
      <c r="BI94" s="264"/>
      <c r="BJ94" s="264"/>
      <c r="BK94" s="264"/>
      <c r="BL94" s="66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264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66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264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66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264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264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264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66"/>
      <c r="DT100" s="264"/>
      <c r="DU100" s="66"/>
      <c r="DV100" s="264"/>
      <c r="DW100" s="66"/>
      <c r="DX100" s="264"/>
      <c r="DY100" s="66"/>
      <c r="DZ100" s="264"/>
      <c r="EA100" s="66"/>
      <c r="EB100" s="264"/>
      <c r="EC100" s="264"/>
      <c r="ED100" s="66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4" t="s">
        <v>1189</v>
      </c>
      <c r="C103" s="264"/>
      <c r="D103" s="264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66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264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264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66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4" t="s">
        <v>1190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66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264"/>
      <c r="AS106" s="264"/>
      <c r="AT106" s="264"/>
      <c r="AU106" s="264"/>
      <c r="AV106" s="264"/>
      <c r="AW106" s="264"/>
      <c r="AX106" s="264"/>
      <c r="AY106" s="66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66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4" t="s">
        <v>1192</v>
      </c>
      <c r="C109" s="264"/>
      <c r="D109" s="264"/>
      <c r="E109" s="264"/>
      <c r="F109" s="66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66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66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66"/>
      <c r="AS109" s="264"/>
      <c r="AT109" s="264"/>
      <c r="AU109" s="66"/>
      <c r="AV109" s="264"/>
      <c r="AW109" s="66"/>
      <c r="AX109" s="264"/>
      <c r="AY109" s="66"/>
      <c r="AZ109" s="66"/>
      <c r="BA109" s="264"/>
      <c r="BB109" s="66"/>
      <c r="BC109" s="264"/>
      <c r="BD109" s="264"/>
      <c r="BE109" s="66"/>
      <c r="BF109" s="264"/>
      <c r="BG109" s="264"/>
      <c r="BH109" s="66"/>
      <c r="BI109" s="264"/>
      <c r="BJ109" s="264"/>
      <c r="BK109" s="66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66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66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/>
      <c r="D112" s="264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66"/>
      <c r="S112" s="264"/>
      <c r="T112" s="264"/>
      <c r="U112" s="264"/>
      <c r="V112" s="264"/>
      <c r="W112" s="264"/>
      <c r="X112" s="264"/>
      <c r="Y112" s="264"/>
      <c r="Z112" s="264"/>
      <c r="AA112" s="264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264"/>
      <c r="BC112" s="264"/>
      <c r="BD112" s="264"/>
      <c r="BE112" s="264"/>
      <c r="BF112" s="264"/>
      <c r="BG112" s="264"/>
      <c r="BH112" s="66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264"/>
      <c r="AZ115" s="66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4" t="s">
        <v>465</v>
      </c>
      <c r="C118" s="264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66"/>
      <c r="S118" s="264"/>
      <c r="T118" s="264"/>
      <c r="U118" s="264"/>
      <c r="V118" s="264"/>
      <c r="W118" s="264"/>
      <c r="X118" s="264"/>
      <c r="Y118" s="264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/>
      <c r="D121" s="264"/>
      <c r="E121" s="264"/>
      <c r="F121" s="264"/>
      <c r="G121" s="264"/>
      <c r="H121" s="66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66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264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/>
      <c r="D124" s="264"/>
      <c r="E124" s="264"/>
      <c r="F124" s="264"/>
      <c r="G124" s="264"/>
      <c r="H124" s="66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66"/>
      <c r="AF124" s="264"/>
      <c r="AG124" s="264"/>
      <c r="AH124" s="264"/>
      <c r="AI124" s="264"/>
      <c r="AJ124" s="264"/>
      <c r="AK124" s="264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66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/>
      <c r="D127" s="66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66"/>
      <c r="AL127" s="264"/>
      <c r="AM127" s="264"/>
      <c r="AN127" s="264"/>
      <c r="AO127" s="264"/>
      <c r="AP127" s="264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66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/>
      <c r="D130" s="264"/>
      <c r="E130" s="264"/>
      <c r="F130" s="264"/>
      <c r="G130" s="264"/>
      <c r="H130" s="66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66"/>
      <c r="AQ130" s="264"/>
      <c r="AR130" s="264"/>
      <c r="AS130" s="264"/>
      <c r="AT130" s="66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264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4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264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66"/>
      <c r="AL133" s="264"/>
      <c r="AM133" s="264"/>
      <c r="AN133" s="264"/>
      <c r="AO133" s="264"/>
      <c r="AP133" s="66"/>
      <c r="AQ133" s="264"/>
      <c r="AR133" s="66"/>
      <c r="AS133" s="264"/>
      <c r="AT133" s="264"/>
      <c r="AU133" s="66"/>
      <c r="AV133" s="264"/>
      <c r="AW133" s="66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264"/>
      <c r="BI133" s="264"/>
      <c r="BJ133" s="264"/>
      <c r="BK133" s="66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264"/>
      <c r="AQ135" s="264"/>
      <c r="AR135" s="264"/>
      <c r="AS135" s="264"/>
      <c r="AT135" s="264"/>
      <c r="AU135" s="264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66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4" t="s">
        <v>474</v>
      </c>
      <c r="C136" s="264"/>
      <c r="D136" s="264"/>
      <c r="E136" s="264"/>
      <c r="F136" s="66"/>
      <c r="G136" s="264"/>
      <c r="H136" s="264"/>
      <c r="I136" s="264"/>
      <c r="J136" s="66"/>
      <c r="K136" s="264"/>
      <c r="L136" s="264"/>
      <c r="M136" s="264"/>
      <c r="N136" s="264"/>
      <c r="O136" s="264"/>
      <c r="P136" s="66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66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66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264"/>
      <c r="BC136" s="264"/>
      <c r="BD136" s="264"/>
      <c r="BE136" s="264"/>
      <c r="BF136" s="264"/>
      <c r="BG136" s="264"/>
      <c r="BH136" s="66"/>
      <c r="BI136" s="264"/>
      <c r="BJ136" s="264"/>
      <c r="BK136" s="264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66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66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66"/>
      <c r="AL139" s="264"/>
      <c r="AM139" s="264"/>
      <c r="AN139" s="264"/>
      <c r="AO139" s="264"/>
      <c r="AP139" s="66"/>
      <c r="AQ139" s="264"/>
      <c r="AR139" s="264"/>
      <c r="AS139" s="264"/>
      <c r="AT139" s="264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66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264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66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66"/>
      <c r="Q142" s="264"/>
      <c r="R142" s="264"/>
      <c r="S142" s="264"/>
      <c r="T142" s="66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66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66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66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264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4" t="s">
        <v>477</v>
      </c>
      <c r="C145" s="264"/>
      <c r="D145" s="264"/>
      <c r="E145" s="264"/>
      <c r="F145" s="66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66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/>
      <c r="D148" s="264"/>
      <c r="E148" s="264"/>
      <c r="F148" s="66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66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264"/>
      <c r="AX148" s="264"/>
      <c r="AY148" s="66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264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4" t="s">
        <v>408</v>
      </c>
      <c r="C151" s="264"/>
      <c r="D151" s="264"/>
      <c r="E151" s="264"/>
      <c r="F151" s="66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66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264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264"/>
      <c r="DT151" s="264"/>
      <c r="DU151" s="66"/>
      <c r="DV151" s="264"/>
      <c r="DW151" s="264"/>
      <c r="DX151" s="264"/>
      <c r="DY151" s="66"/>
      <c r="DZ151" s="264"/>
      <c r="EA151" s="66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264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264"/>
      <c r="E154" s="264"/>
      <c r="F154" s="264"/>
      <c r="G154" s="264"/>
      <c r="H154" s="264"/>
      <c r="I154" s="264"/>
      <c r="J154" s="264"/>
      <c r="K154" s="264"/>
      <c r="L154" s="264"/>
      <c r="M154" s="264"/>
      <c r="N154" s="264"/>
      <c r="O154" s="264"/>
      <c r="P154" s="66"/>
      <c r="Q154" s="264"/>
      <c r="R154" s="66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66"/>
      <c r="AP154" s="66"/>
      <c r="AQ154" s="264"/>
      <c r="AR154" s="264"/>
      <c r="AS154" s="264"/>
      <c r="AT154" s="66"/>
      <c r="AU154" s="66"/>
      <c r="AV154" s="264"/>
      <c r="AW154" s="264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66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/>
      <c r="D157" s="264"/>
      <c r="E157" s="264"/>
      <c r="F157" s="66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264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66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264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66"/>
      <c r="M160" s="264"/>
      <c r="N160" s="264"/>
      <c r="O160" s="264"/>
      <c r="P160" s="66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  <c r="AA160" s="264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66"/>
      <c r="BC160" s="264"/>
      <c r="BD160" s="264"/>
      <c r="BE160" s="66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66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66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/>
      <c r="D163" s="264"/>
      <c r="E163" s="264"/>
      <c r="F163" s="264"/>
      <c r="G163" s="264"/>
      <c r="H163" s="66"/>
      <c r="I163" s="264"/>
      <c r="J163" s="264"/>
      <c r="K163" s="264"/>
      <c r="L163" s="264"/>
      <c r="M163" s="264"/>
      <c r="N163" s="264"/>
      <c r="O163" s="264"/>
      <c r="P163" s="264"/>
      <c r="Q163" s="264"/>
      <c r="R163" s="66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264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66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66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66"/>
      <c r="U169" s="264"/>
      <c r="V169" s="264"/>
      <c r="W169" s="264"/>
      <c r="X169" s="264"/>
      <c r="Y169" s="264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66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66"/>
      <c r="BC169" s="264"/>
      <c r="BD169" s="264"/>
      <c r="BE169" s="66"/>
      <c r="BF169" s="264"/>
      <c r="BG169" s="264"/>
      <c r="BH169" s="264"/>
      <c r="BI169" s="264"/>
      <c r="BJ169" s="264"/>
      <c r="BK169" s="264"/>
      <c r="BL169" s="66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264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/>
      <c r="D172" s="264"/>
      <c r="E172" s="264"/>
      <c r="F172" s="66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66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66"/>
      <c r="AF172" s="264"/>
      <c r="AG172" s="66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264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66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66"/>
      <c r="E175" s="264"/>
      <c r="F175" s="66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66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66"/>
      <c r="AS175" s="264"/>
      <c r="AT175" s="264"/>
      <c r="AU175" s="66"/>
      <c r="AV175" s="264"/>
      <c r="AW175" s="66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66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264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66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66"/>
      <c r="K178" s="264"/>
      <c r="L178" s="264"/>
      <c r="M178" s="264"/>
      <c r="N178" s="264"/>
      <c r="O178" s="264"/>
      <c r="P178" s="264"/>
      <c r="Q178" s="264"/>
      <c r="R178" s="264"/>
      <c r="S178" s="264"/>
      <c r="T178" s="66"/>
      <c r="U178" s="264"/>
      <c r="V178" s="264"/>
      <c r="W178" s="264"/>
      <c r="X178" s="264"/>
      <c r="Y178" s="264"/>
      <c r="Z178" s="264"/>
      <c r="AA178" s="66"/>
      <c r="AB178" s="264"/>
      <c r="AC178" s="264"/>
      <c r="AD178" s="264"/>
      <c r="AE178" s="264"/>
      <c r="AF178" s="264"/>
      <c r="AG178" s="66"/>
      <c r="AH178" s="264"/>
      <c r="AI178" s="264"/>
      <c r="AJ178" s="264"/>
      <c r="AK178" s="264"/>
      <c r="AL178" s="264"/>
      <c r="AM178" s="264"/>
      <c r="AN178" s="264"/>
      <c r="AO178" s="264"/>
      <c r="AP178" s="264"/>
      <c r="AQ178" s="264"/>
      <c r="AR178" s="264"/>
      <c r="AS178" s="264"/>
      <c r="AT178" s="264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66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264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4" t="s">
        <v>413</v>
      </c>
      <c r="C181" s="264"/>
      <c r="D181" s="264"/>
      <c r="E181" s="264"/>
      <c r="F181" s="264"/>
      <c r="G181" s="264"/>
      <c r="H181" s="264"/>
      <c r="I181" s="264"/>
      <c r="J181" s="264"/>
      <c r="K181" s="264"/>
      <c r="L181" s="264"/>
      <c r="M181" s="264"/>
      <c r="N181" s="264"/>
      <c r="O181" s="264"/>
      <c r="P181" s="264"/>
      <c r="Q181" s="264"/>
      <c r="R181" s="66"/>
      <c r="S181" s="264"/>
      <c r="T181" s="66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66"/>
      <c r="AS181" s="264"/>
      <c r="AT181" s="264"/>
      <c r="AU181" s="66"/>
      <c r="AV181" s="264"/>
      <c r="AW181" s="264"/>
      <c r="AX181" s="264"/>
      <c r="AY181" s="264"/>
      <c r="AZ181" s="66"/>
      <c r="BA181" s="264"/>
      <c r="BB181" s="264"/>
      <c r="BC181" s="264"/>
      <c r="BD181" s="264"/>
      <c r="BE181" s="264"/>
      <c r="BF181" s="264"/>
      <c r="BG181" s="264"/>
      <c r="BH181" s="264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66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66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66"/>
      <c r="G184" s="264"/>
      <c r="H184" s="66"/>
      <c r="I184" s="264"/>
      <c r="J184" s="66"/>
      <c r="K184" s="264"/>
      <c r="L184" s="66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66"/>
      <c r="AB184" s="264"/>
      <c r="AC184" s="264"/>
      <c r="AD184" s="264"/>
      <c r="AE184" s="66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264"/>
      <c r="AV184" s="264"/>
      <c r="AW184" s="264"/>
      <c r="AX184" s="264"/>
      <c r="AY184" s="264"/>
      <c r="AZ184" s="66"/>
      <c r="BA184" s="264"/>
      <c r="BB184" s="66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66"/>
      <c r="AQ186" s="264"/>
      <c r="AR186" s="264"/>
      <c r="AS186" s="264"/>
      <c r="AT186" s="264"/>
      <c r="AU186" s="66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/>
      <c r="D187" s="264"/>
      <c r="E187" s="264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66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66"/>
      <c r="AS187" s="264"/>
      <c r="AT187" s="264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66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66"/>
      <c r="S190" s="264"/>
      <c r="T190" s="264"/>
      <c r="U190" s="264"/>
      <c r="V190" s="264"/>
      <c r="W190" s="264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66"/>
      <c r="AQ190" s="264"/>
      <c r="AR190" s="264"/>
      <c r="AS190" s="264"/>
      <c r="AT190" s="264"/>
      <c r="AU190" s="66"/>
      <c r="AV190" s="264"/>
      <c r="AW190" s="264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66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264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66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264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4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66"/>
      <c r="AS196" s="264"/>
      <c r="AT196" s="264"/>
      <c r="AU196" s="66"/>
      <c r="AV196" s="264"/>
      <c r="AW196" s="264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264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264"/>
      <c r="DX196" s="264"/>
      <c r="DY196" s="264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4" t="s">
        <v>416</v>
      </c>
      <c r="C199" s="264"/>
      <c r="D199" s="66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66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264"/>
      <c r="AU199" s="66"/>
      <c r="AV199" s="264"/>
      <c r="AW199" s="66"/>
      <c r="AX199" s="264"/>
      <c r="AY199" s="264"/>
      <c r="AZ199" s="264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66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66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264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4" t="s">
        <v>490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66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264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66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/>
      <c r="D205" s="264"/>
      <c r="E205" s="264"/>
      <c r="F205" s="264"/>
      <c r="G205" s="264"/>
      <c r="H205" s="264"/>
      <c r="I205" s="264"/>
      <c r="J205" s="66"/>
      <c r="K205" s="264"/>
      <c r="L205" s="264"/>
      <c r="M205" s="264"/>
      <c r="N205" s="264"/>
      <c r="O205" s="264"/>
      <c r="P205" s="264"/>
      <c r="Q205" s="264"/>
      <c r="R205" s="66"/>
      <c r="S205" s="264"/>
      <c r="T205" s="264"/>
      <c r="U205" s="264"/>
      <c r="V205" s="264"/>
      <c r="W205" s="264"/>
      <c r="X205" s="264"/>
      <c r="Y205" s="264"/>
      <c r="Z205" s="264"/>
      <c r="AA205" s="66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264"/>
      <c r="AP205" s="264"/>
      <c r="AQ205" s="264"/>
      <c r="AR205" s="264"/>
      <c r="AS205" s="264"/>
      <c r="AT205" s="66"/>
      <c r="AU205" s="264"/>
      <c r="AV205" s="264"/>
      <c r="AW205" s="264"/>
      <c r="AX205" s="264"/>
      <c r="AY205" s="264"/>
      <c r="AZ205" s="66"/>
      <c r="BA205" s="264"/>
      <c r="BB205" s="66"/>
      <c r="BC205" s="264"/>
      <c r="BD205" s="264"/>
      <c r="BE205" s="264"/>
      <c r="BF205" s="264"/>
      <c r="BG205" s="264"/>
      <c r="BH205" s="264"/>
      <c r="BI205" s="264"/>
      <c r="BJ205" s="264"/>
      <c r="BK205" s="66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66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4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66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264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66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66"/>
      <c r="M211" s="264"/>
      <c r="N211" s="264"/>
      <c r="O211" s="264"/>
      <c r="P211" s="264"/>
      <c r="Q211" s="264"/>
      <c r="R211" s="66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66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66"/>
      <c r="AZ211" s="264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/>
      <c r="D214" s="264"/>
      <c r="E214" s="264"/>
      <c r="F214" s="264"/>
      <c r="G214" s="264"/>
      <c r="H214" s="66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66"/>
      <c r="AP214" s="66"/>
      <c r="AQ214" s="264"/>
      <c r="AR214" s="264"/>
      <c r="AS214" s="264"/>
      <c r="AT214" s="66"/>
      <c r="AU214" s="66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66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66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66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264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264"/>
      <c r="E220" s="264"/>
      <c r="F220" s="264"/>
      <c r="G220" s="264"/>
      <c r="H220" s="66"/>
      <c r="I220" s="264"/>
      <c r="J220" s="66"/>
      <c r="K220" s="264"/>
      <c r="L220" s="66"/>
      <c r="M220" s="264"/>
      <c r="N220" s="264"/>
      <c r="O220" s="264"/>
      <c r="P220" s="264"/>
      <c r="Q220" s="264"/>
      <c r="R220" s="66"/>
      <c r="S220" s="264"/>
      <c r="T220" s="66"/>
      <c r="U220" s="264"/>
      <c r="V220" s="264"/>
      <c r="W220" s="264"/>
      <c r="X220" s="264"/>
      <c r="Y220" s="264"/>
      <c r="Z220" s="264"/>
      <c r="AA220" s="66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66"/>
      <c r="AL220" s="264"/>
      <c r="AM220" s="264"/>
      <c r="AN220" s="264"/>
      <c r="AO220" s="66"/>
      <c r="AP220" s="66"/>
      <c r="AQ220" s="264"/>
      <c r="AR220" s="264"/>
      <c r="AS220" s="264"/>
      <c r="AT220" s="66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66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/>
      <c r="D223" s="66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66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  <c r="AA223" s="66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66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264"/>
      <c r="AX223" s="264"/>
      <c r="AY223" s="264"/>
      <c r="AZ223" s="66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264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264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66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66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264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264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66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66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/>
      <c r="D232" s="66"/>
      <c r="E232" s="264"/>
      <c r="F232" s="264"/>
      <c r="G232" s="264"/>
      <c r="H232" s="66"/>
      <c r="I232" s="264"/>
      <c r="J232" s="66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66"/>
      <c r="X232" s="264"/>
      <c r="Y232" s="66"/>
      <c r="Z232" s="264"/>
      <c r="AA232" s="66"/>
      <c r="AB232" s="264"/>
      <c r="AC232" s="264"/>
      <c r="AD232" s="264"/>
      <c r="AE232" s="66"/>
      <c r="AF232" s="264"/>
      <c r="AG232" s="66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264"/>
      <c r="BA232" s="264"/>
      <c r="BB232" s="66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264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264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66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4" t="s">
        <v>419</v>
      </c>
      <c r="C235" s="264"/>
      <c r="D235" s="66"/>
      <c r="E235" s="264"/>
      <c r="F235" s="66"/>
      <c r="G235" s="264"/>
      <c r="H235" s="264"/>
      <c r="I235" s="264"/>
      <c r="J235" s="264"/>
      <c r="K235" s="264"/>
      <c r="L235" s="264"/>
      <c r="M235" s="264"/>
      <c r="N235" s="264"/>
      <c r="O235" s="264"/>
      <c r="P235" s="66"/>
      <c r="Q235" s="264"/>
      <c r="R235" s="264"/>
      <c r="S235" s="264"/>
      <c r="T235" s="264"/>
      <c r="U235" s="264"/>
      <c r="V235" s="264"/>
      <c r="W235" s="264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66"/>
      <c r="DT235" s="264"/>
      <c r="DU235" s="66"/>
      <c r="DV235" s="264"/>
      <c r="DW235" s="264"/>
      <c r="DX235" s="264"/>
      <c r="DY235" s="66"/>
      <c r="DZ235" s="264"/>
      <c r="EA235" s="264"/>
      <c r="EB235" s="264"/>
      <c r="EC235" s="66"/>
      <c r="ED235" s="66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264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66"/>
      <c r="AL238" s="264"/>
      <c r="AM238" s="264"/>
      <c r="AN238" s="264"/>
      <c r="AO238" s="264"/>
      <c r="AP238" s="264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66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/>
      <c r="D241" s="264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66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264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66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264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/>
      <c r="D244" s="264"/>
      <c r="E244" s="264"/>
      <c r="F244" s="264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66"/>
      <c r="S244" s="264"/>
      <c r="T244" s="264"/>
      <c r="U244" s="264"/>
      <c r="V244" s="264"/>
      <c r="W244" s="66"/>
      <c r="X244" s="264"/>
      <c r="Y244" s="264"/>
      <c r="Z244" s="264"/>
      <c r="AA244" s="264"/>
      <c r="AB244" s="264"/>
      <c r="AC244" s="264"/>
      <c r="AD244" s="264"/>
      <c r="AE244" s="264"/>
      <c r="AF244" s="264"/>
      <c r="AG244" s="66"/>
      <c r="AH244" s="264"/>
      <c r="AI244" s="264"/>
      <c r="AJ244" s="264"/>
      <c r="AK244" s="66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264"/>
      <c r="AV244" s="264"/>
      <c r="AW244" s="264"/>
      <c r="AX244" s="264"/>
      <c r="AY244" s="264"/>
      <c r="AZ244" s="66"/>
      <c r="BA244" s="264"/>
      <c r="BB244" s="66"/>
      <c r="BC244" s="264"/>
      <c r="BD244" s="264"/>
      <c r="BE244" s="66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66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66"/>
      <c r="M247" s="264"/>
      <c r="N247" s="264"/>
      <c r="O247" s="264"/>
      <c r="P247" s="66"/>
      <c r="Q247" s="264"/>
      <c r="R247" s="264"/>
      <c r="S247" s="264"/>
      <c r="T247" s="66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264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66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66"/>
      <c r="BA250" s="264"/>
      <c r="BB250" s="264"/>
      <c r="BC250" s="264"/>
      <c r="BD250" s="264"/>
      <c r="BE250" s="264"/>
      <c r="BF250" s="264"/>
      <c r="BG250" s="264"/>
      <c r="BH250" s="66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4" t="s">
        <v>421</v>
      </c>
      <c r="C253" s="264"/>
      <c r="D253" s="66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66"/>
      <c r="Q253" s="264"/>
      <c r="R253" s="264"/>
      <c r="S253" s="264"/>
      <c r="T253" s="66"/>
      <c r="U253" s="264"/>
      <c r="V253" s="264"/>
      <c r="W253" s="264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66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66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4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66"/>
      <c r="DZ256" s="264"/>
      <c r="EA256" s="66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Y259" s="66"/>
      <c r="AO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W261" s="66"/>
      <c r="AP261" s="66"/>
      <c r="AU261" s="66"/>
      <c r="AZ261" s="66"/>
      <c r="BL261" s="66"/>
      <c r="CT261" s="66"/>
    </row>
    <row r="262" spans="1:151">
      <c r="A262" s="160"/>
      <c r="B262" s="160"/>
      <c r="L262" s="66"/>
      <c r="P262" s="66"/>
      <c r="R262" s="66"/>
      <c r="T262" s="66"/>
      <c r="AP262" s="66"/>
      <c r="AT262" s="66"/>
      <c r="AU262" s="66"/>
      <c r="AY262" s="66"/>
      <c r="AZ262" s="66"/>
      <c r="BE262" s="66"/>
      <c r="BK262" s="66"/>
      <c r="BL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  <c r="ED267" s="66"/>
    </row>
    <row r="268" spans="1:151">
      <c r="A268" s="160"/>
      <c r="B268" s="160"/>
      <c r="AA268" s="66"/>
      <c r="AM268" s="66"/>
      <c r="AU268" s="66"/>
      <c r="AZ268" s="66"/>
      <c r="BE268" s="66"/>
      <c r="BL268" s="66"/>
      <c r="CO268" s="66"/>
      <c r="CT268" s="66"/>
      <c r="DI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F271" s="66"/>
      <c r="H271" s="66"/>
      <c r="J271" s="66"/>
      <c r="L271" s="66"/>
      <c r="T271" s="66"/>
      <c r="W271" s="66"/>
      <c r="Y271" s="66"/>
      <c r="AA271" s="66"/>
      <c r="AE271" s="66"/>
      <c r="AO271" s="66"/>
      <c r="AP271" s="66"/>
      <c r="AR271" s="66"/>
      <c r="AT271" s="66"/>
      <c r="AU271" s="66"/>
      <c r="AZ271" s="66"/>
      <c r="BB271" s="66"/>
      <c r="BE271" s="66"/>
      <c r="BH271" s="66"/>
      <c r="CT271" s="66"/>
    </row>
    <row r="273" spans="4:134">
      <c r="AP273" s="66"/>
    </row>
    <row r="274" spans="4:134">
      <c r="D274" s="66"/>
      <c r="H274" s="66"/>
      <c r="P274" s="66"/>
      <c r="AE274" s="66"/>
      <c r="AW274" s="66"/>
      <c r="BB274" s="66"/>
      <c r="BH274" s="66"/>
      <c r="BK274" s="66"/>
    </row>
    <row r="276" spans="4:134">
      <c r="AU276" s="66"/>
      <c r="BF276" s="66"/>
      <c r="BL276" s="66"/>
      <c r="CT276" s="66"/>
      <c r="ED276" s="66"/>
    </row>
    <row r="277" spans="4:134">
      <c r="D277" s="66"/>
      <c r="F277" s="66"/>
      <c r="H277" s="66"/>
      <c r="L277" s="66"/>
      <c r="Y277" s="66"/>
      <c r="AA277" s="66"/>
      <c r="AE277" s="66"/>
      <c r="AO277" s="66"/>
      <c r="AR277" s="66"/>
      <c r="AT277" s="66"/>
      <c r="AU277" s="66"/>
      <c r="AY277" s="66"/>
      <c r="AZ277" s="66"/>
      <c r="BB277" s="66"/>
      <c r="BE277" s="66"/>
      <c r="BH277" s="66"/>
      <c r="BL277" s="66"/>
      <c r="CT277" s="66"/>
      <c r="DS277" s="66"/>
      <c r="DU277" s="66"/>
      <c r="ED277" s="66"/>
    </row>
    <row r="279" spans="4:134">
      <c r="AU279" s="66"/>
      <c r="BF279" s="66"/>
      <c r="BL279" s="66"/>
      <c r="CT279" s="66"/>
    </row>
    <row r="280" spans="4:134">
      <c r="P280" s="66"/>
      <c r="R280" s="66"/>
      <c r="T280" s="66"/>
      <c r="AG280" s="66"/>
      <c r="AO280" s="66"/>
      <c r="AR280" s="66"/>
      <c r="AU280" s="66"/>
      <c r="AW280" s="66"/>
      <c r="BB280" s="66"/>
      <c r="BE280" s="66"/>
      <c r="BF280" s="66"/>
      <c r="BK280" s="66"/>
      <c r="BL280" s="66"/>
      <c r="CT280" s="66"/>
      <c r="ED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116</v>
      </c>
      <c r="C1" s="2" t="s">
        <v>532</v>
      </c>
      <c r="D1" s="2">
        <v>255</v>
      </c>
    </row>
    <row r="2" spans="1:15">
      <c r="C2" s="2" t="s">
        <v>531</v>
      </c>
      <c r="D2" s="2">
        <f>D1+1</f>
        <v>256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3524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3565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706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685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22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27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74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66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12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11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5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2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533</v>
      </c>
      <c r="B16" s="24" t="s">
        <v>131</v>
      </c>
      <c r="C16" s="23">
        <f>Справочник!J2</f>
        <v>2018</v>
      </c>
      <c r="D16" s="24">
        <f ca="1">INDIRECT("'"&amp;D3&amp;"'!cu"&amp;D1&amp;"")</f>
        <v>1368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1421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70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55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91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84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14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16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3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9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15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356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300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19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17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2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3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158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129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1886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1790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81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84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781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647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1172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1159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181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137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81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11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1099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1070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1128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1125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702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674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5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9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432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309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80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48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1886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1608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0.53978248425872921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1790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1454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0.55178791615289768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432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270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0.61538461538461542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309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304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0.50407830342577487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18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19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1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0.95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62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3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0.9538461538461539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45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9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0.83333333333333337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13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6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0.68421052631578949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13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52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33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0.61176470588235299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47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23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0.67142857142857137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521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988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0.3452617627567926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570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887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0.39121482498284144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72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270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0.21052631578947367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67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224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0.23024054982817868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P42"/>
  <sheetViews>
    <sheetView view="pageBreakPreview" zoomScale="110" zoomScaleSheetLayoutView="110" workbookViewId="0">
      <selection activeCell="O2" sqref="O2"/>
    </sheetView>
  </sheetViews>
  <sheetFormatPr defaultRowHeight="12.75"/>
  <cols>
    <col min="1" max="1" width="2.28515625" style="61" customWidth="1"/>
    <col min="2" max="2" width="39.85546875" style="60" customWidth="1"/>
    <col min="3" max="3" width="6.28515625" style="58" customWidth="1"/>
    <col min="4" max="4" width="6.5703125" style="58" customWidth="1"/>
    <col min="5" max="5" width="6.140625" style="58" customWidth="1"/>
    <col min="6" max="6" width="6" style="58" bestFit="1" customWidth="1"/>
    <col min="7" max="7" width="7.42578125" style="58" customWidth="1"/>
    <col min="8" max="8" width="6.85546875" style="58" customWidth="1"/>
    <col min="9" max="9" width="7" style="58" customWidth="1"/>
    <col min="10" max="10" width="7.42578125" style="58" bestFit="1" customWidth="1"/>
    <col min="11" max="11" width="6.42578125" style="58" customWidth="1"/>
    <col min="12" max="12" width="7.5703125" style="58" customWidth="1"/>
    <col min="13" max="13" width="7" style="58" customWidth="1"/>
    <col min="14" max="14" width="6.7109375" style="58" customWidth="1"/>
    <col min="15" max="15" width="9.140625" style="38"/>
    <col min="16" max="16" width="30.42578125" style="38" customWidth="1"/>
    <col min="17" max="17" width="4.42578125" style="38" customWidth="1"/>
    <col min="18" max="18" width="14.7109375" style="38" customWidth="1"/>
    <col min="19" max="19" width="3.42578125" style="38" hidden="1" customWidth="1"/>
    <col min="20" max="20" width="2" style="38" hidden="1" customWidth="1"/>
    <col min="21" max="21" width="0" style="38" hidden="1" customWidth="1"/>
    <col min="22" max="256" width="9.140625" style="38"/>
    <col min="257" max="257" width="2.28515625" style="38" customWidth="1"/>
    <col min="258" max="258" width="39.85546875" style="38" customWidth="1"/>
    <col min="259" max="259" width="6.28515625" style="38" customWidth="1"/>
    <col min="260" max="260" width="6.5703125" style="38" customWidth="1"/>
    <col min="261" max="261" width="6.140625" style="38" customWidth="1"/>
    <col min="262" max="262" width="5.140625" style="38" customWidth="1"/>
    <col min="263" max="263" width="6.42578125" style="38" customWidth="1"/>
    <col min="264" max="264" width="6.85546875" style="38" customWidth="1"/>
    <col min="265" max="265" width="5.5703125" style="38" customWidth="1"/>
    <col min="266" max="266" width="5.140625" style="38" customWidth="1"/>
    <col min="267" max="267" width="6.5703125" style="38" customWidth="1"/>
    <col min="268" max="268" width="6.28515625" style="38" customWidth="1"/>
    <col min="269" max="269" width="5.42578125" style="38" customWidth="1"/>
    <col min="270" max="270" width="6" style="38" customWidth="1"/>
    <col min="271" max="512" width="9.140625" style="38"/>
    <col min="513" max="513" width="2.28515625" style="38" customWidth="1"/>
    <col min="514" max="514" width="39.85546875" style="38" customWidth="1"/>
    <col min="515" max="515" width="6.28515625" style="38" customWidth="1"/>
    <col min="516" max="516" width="6.5703125" style="38" customWidth="1"/>
    <col min="517" max="517" width="6.140625" style="38" customWidth="1"/>
    <col min="518" max="518" width="5.140625" style="38" customWidth="1"/>
    <col min="519" max="519" width="6.42578125" style="38" customWidth="1"/>
    <col min="520" max="520" width="6.85546875" style="38" customWidth="1"/>
    <col min="521" max="521" width="5.5703125" style="38" customWidth="1"/>
    <col min="522" max="522" width="5.140625" style="38" customWidth="1"/>
    <col min="523" max="523" width="6.5703125" style="38" customWidth="1"/>
    <col min="524" max="524" width="6.28515625" style="38" customWidth="1"/>
    <col min="525" max="525" width="5.42578125" style="38" customWidth="1"/>
    <col min="526" max="526" width="6" style="38" customWidth="1"/>
    <col min="527" max="768" width="9.140625" style="38"/>
    <col min="769" max="769" width="2.28515625" style="38" customWidth="1"/>
    <col min="770" max="770" width="39.85546875" style="38" customWidth="1"/>
    <col min="771" max="771" width="6.28515625" style="38" customWidth="1"/>
    <col min="772" max="772" width="6.5703125" style="38" customWidth="1"/>
    <col min="773" max="773" width="6.140625" style="38" customWidth="1"/>
    <col min="774" max="774" width="5.140625" style="38" customWidth="1"/>
    <col min="775" max="775" width="6.42578125" style="38" customWidth="1"/>
    <col min="776" max="776" width="6.85546875" style="38" customWidth="1"/>
    <col min="777" max="777" width="5.5703125" style="38" customWidth="1"/>
    <col min="778" max="778" width="5.140625" style="38" customWidth="1"/>
    <col min="779" max="779" width="6.5703125" style="38" customWidth="1"/>
    <col min="780" max="780" width="6.28515625" style="38" customWidth="1"/>
    <col min="781" max="781" width="5.42578125" style="38" customWidth="1"/>
    <col min="782" max="782" width="6" style="38" customWidth="1"/>
    <col min="783" max="1024" width="9.140625" style="38"/>
    <col min="1025" max="1025" width="2.28515625" style="38" customWidth="1"/>
    <col min="1026" max="1026" width="39.85546875" style="38" customWidth="1"/>
    <col min="1027" max="1027" width="6.28515625" style="38" customWidth="1"/>
    <col min="1028" max="1028" width="6.5703125" style="38" customWidth="1"/>
    <col min="1029" max="1029" width="6.140625" style="38" customWidth="1"/>
    <col min="1030" max="1030" width="5.140625" style="38" customWidth="1"/>
    <col min="1031" max="1031" width="6.42578125" style="38" customWidth="1"/>
    <col min="1032" max="1032" width="6.85546875" style="38" customWidth="1"/>
    <col min="1033" max="1033" width="5.5703125" style="38" customWidth="1"/>
    <col min="1034" max="1034" width="5.140625" style="38" customWidth="1"/>
    <col min="1035" max="1035" width="6.5703125" style="38" customWidth="1"/>
    <col min="1036" max="1036" width="6.28515625" style="38" customWidth="1"/>
    <col min="1037" max="1037" width="5.42578125" style="38" customWidth="1"/>
    <col min="1038" max="1038" width="6" style="38" customWidth="1"/>
    <col min="1039" max="1280" width="9.140625" style="38"/>
    <col min="1281" max="1281" width="2.28515625" style="38" customWidth="1"/>
    <col min="1282" max="1282" width="39.85546875" style="38" customWidth="1"/>
    <col min="1283" max="1283" width="6.28515625" style="38" customWidth="1"/>
    <col min="1284" max="1284" width="6.5703125" style="38" customWidth="1"/>
    <col min="1285" max="1285" width="6.140625" style="38" customWidth="1"/>
    <col min="1286" max="1286" width="5.140625" style="38" customWidth="1"/>
    <col min="1287" max="1287" width="6.42578125" style="38" customWidth="1"/>
    <col min="1288" max="1288" width="6.85546875" style="38" customWidth="1"/>
    <col min="1289" max="1289" width="5.5703125" style="38" customWidth="1"/>
    <col min="1290" max="1290" width="5.140625" style="38" customWidth="1"/>
    <col min="1291" max="1291" width="6.5703125" style="38" customWidth="1"/>
    <col min="1292" max="1292" width="6.28515625" style="38" customWidth="1"/>
    <col min="1293" max="1293" width="5.42578125" style="38" customWidth="1"/>
    <col min="1294" max="1294" width="6" style="38" customWidth="1"/>
    <col min="1295" max="1536" width="9.140625" style="38"/>
    <col min="1537" max="1537" width="2.28515625" style="38" customWidth="1"/>
    <col min="1538" max="1538" width="39.85546875" style="38" customWidth="1"/>
    <col min="1539" max="1539" width="6.28515625" style="38" customWidth="1"/>
    <col min="1540" max="1540" width="6.5703125" style="38" customWidth="1"/>
    <col min="1541" max="1541" width="6.140625" style="38" customWidth="1"/>
    <col min="1542" max="1542" width="5.140625" style="38" customWidth="1"/>
    <col min="1543" max="1543" width="6.42578125" style="38" customWidth="1"/>
    <col min="1544" max="1544" width="6.85546875" style="38" customWidth="1"/>
    <col min="1545" max="1545" width="5.5703125" style="38" customWidth="1"/>
    <col min="1546" max="1546" width="5.140625" style="38" customWidth="1"/>
    <col min="1547" max="1547" width="6.5703125" style="38" customWidth="1"/>
    <col min="1548" max="1548" width="6.28515625" style="38" customWidth="1"/>
    <col min="1549" max="1549" width="5.42578125" style="38" customWidth="1"/>
    <col min="1550" max="1550" width="6" style="38" customWidth="1"/>
    <col min="1551" max="1792" width="9.140625" style="38"/>
    <col min="1793" max="1793" width="2.28515625" style="38" customWidth="1"/>
    <col min="1794" max="1794" width="39.85546875" style="38" customWidth="1"/>
    <col min="1795" max="1795" width="6.28515625" style="38" customWidth="1"/>
    <col min="1796" max="1796" width="6.5703125" style="38" customWidth="1"/>
    <col min="1797" max="1797" width="6.140625" style="38" customWidth="1"/>
    <col min="1798" max="1798" width="5.140625" style="38" customWidth="1"/>
    <col min="1799" max="1799" width="6.42578125" style="38" customWidth="1"/>
    <col min="1800" max="1800" width="6.85546875" style="38" customWidth="1"/>
    <col min="1801" max="1801" width="5.5703125" style="38" customWidth="1"/>
    <col min="1802" max="1802" width="5.140625" style="38" customWidth="1"/>
    <col min="1803" max="1803" width="6.5703125" style="38" customWidth="1"/>
    <col min="1804" max="1804" width="6.28515625" style="38" customWidth="1"/>
    <col min="1805" max="1805" width="5.42578125" style="38" customWidth="1"/>
    <col min="1806" max="1806" width="6" style="38" customWidth="1"/>
    <col min="1807" max="2048" width="9.140625" style="38"/>
    <col min="2049" max="2049" width="2.28515625" style="38" customWidth="1"/>
    <col min="2050" max="2050" width="39.85546875" style="38" customWidth="1"/>
    <col min="2051" max="2051" width="6.28515625" style="38" customWidth="1"/>
    <col min="2052" max="2052" width="6.5703125" style="38" customWidth="1"/>
    <col min="2053" max="2053" width="6.140625" style="38" customWidth="1"/>
    <col min="2054" max="2054" width="5.140625" style="38" customWidth="1"/>
    <col min="2055" max="2055" width="6.42578125" style="38" customWidth="1"/>
    <col min="2056" max="2056" width="6.85546875" style="38" customWidth="1"/>
    <col min="2057" max="2057" width="5.5703125" style="38" customWidth="1"/>
    <col min="2058" max="2058" width="5.140625" style="38" customWidth="1"/>
    <col min="2059" max="2059" width="6.5703125" style="38" customWidth="1"/>
    <col min="2060" max="2060" width="6.28515625" style="38" customWidth="1"/>
    <col min="2061" max="2061" width="5.42578125" style="38" customWidth="1"/>
    <col min="2062" max="2062" width="6" style="38" customWidth="1"/>
    <col min="2063" max="2304" width="9.140625" style="38"/>
    <col min="2305" max="2305" width="2.28515625" style="38" customWidth="1"/>
    <col min="2306" max="2306" width="39.85546875" style="38" customWidth="1"/>
    <col min="2307" max="2307" width="6.28515625" style="38" customWidth="1"/>
    <col min="2308" max="2308" width="6.5703125" style="38" customWidth="1"/>
    <col min="2309" max="2309" width="6.140625" style="38" customWidth="1"/>
    <col min="2310" max="2310" width="5.140625" style="38" customWidth="1"/>
    <col min="2311" max="2311" width="6.42578125" style="38" customWidth="1"/>
    <col min="2312" max="2312" width="6.85546875" style="38" customWidth="1"/>
    <col min="2313" max="2313" width="5.5703125" style="38" customWidth="1"/>
    <col min="2314" max="2314" width="5.140625" style="38" customWidth="1"/>
    <col min="2315" max="2315" width="6.5703125" style="38" customWidth="1"/>
    <col min="2316" max="2316" width="6.28515625" style="38" customWidth="1"/>
    <col min="2317" max="2317" width="5.42578125" style="38" customWidth="1"/>
    <col min="2318" max="2318" width="6" style="38" customWidth="1"/>
    <col min="2319" max="2560" width="9.140625" style="38"/>
    <col min="2561" max="2561" width="2.28515625" style="38" customWidth="1"/>
    <col min="2562" max="2562" width="39.85546875" style="38" customWidth="1"/>
    <col min="2563" max="2563" width="6.28515625" style="38" customWidth="1"/>
    <col min="2564" max="2564" width="6.5703125" style="38" customWidth="1"/>
    <col min="2565" max="2565" width="6.140625" style="38" customWidth="1"/>
    <col min="2566" max="2566" width="5.140625" style="38" customWidth="1"/>
    <col min="2567" max="2567" width="6.42578125" style="38" customWidth="1"/>
    <col min="2568" max="2568" width="6.85546875" style="38" customWidth="1"/>
    <col min="2569" max="2569" width="5.5703125" style="38" customWidth="1"/>
    <col min="2570" max="2570" width="5.140625" style="38" customWidth="1"/>
    <col min="2571" max="2571" width="6.5703125" style="38" customWidth="1"/>
    <col min="2572" max="2572" width="6.28515625" style="38" customWidth="1"/>
    <col min="2573" max="2573" width="5.42578125" style="38" customWidth="1"/>
    <col min="2574" max="2574" width="6" style="38" customWidth="1"/>
    <col min="2575" max="2816" width="9.140625" style="38"/>
    <col min="2817" max="2817" width="2.28515625" style="38" customWidth="1"/>
    <col min="2818" max="2818" width="39.85546875" style="38" customWidth="1"/>
    <col min="2819" max="2819" width="6.28515625" style="38" customWidth="1"/>
    <col min="2820" max="2820" width="6.5703125" style="38" customWidth="1"/>
    <col min="2821" max="2821" width="6.140625" style="38" customWidth="1"/>
    <col min="2822" max="2822" width="5.140625" style="38" customWidth="1"/>
    <col min="2823" max="2823" width="6.42578125" style="38" customWidth="1"/>
    <col min="2824" max="2824" width="6.85546875" style="38" customWidth="1"/>
    <col min="2825" max="2825" width="5.5703125" style="38" customWidth="1"/>
    <col min="2826" max="2826" width="5.140625" style="38" customWidth="1"/>
    <col min="2827" max="2827" width="6.5703125" style="38" customWidth="1"/>
    <col min="2828" max="2828" width="6.28515625" style="38" customWidth="1"/>
    <col min="2829" max="2829" width="5.42578125" style="38" customWidth="1"/>
    <col min="2830" max="2830" width="6" style="38" customWidth="1"/>
    <col min="2831" max="3072" width="9.140625" style="38"/>
    <col min="3073" max="3073" width="2.28515625" style="38" customWidth="1"/>
    <col min="3074" max="3074" width="39.85546875" style="38" customWidth="1"/>
    <col min="3075" max="3075" width="6.28515625" style="38" customWidth="1"/>
    <col min="3076" max="3076" width="6.5703125" style="38" customWidth="1"/>
    <col min="3077" max="3077" width="6.140625" style="38" customWidth="1"/>
    <col min="3078" max="3078" width="5.140625" style="38" customWidth="1"/>
    <col min="3079" max="3079" width="6.42578125" style="38" customWidth="1"/>
    <col min="3080" max="3080" width="6.85546875" style="38" customWidth="1"/>
    <col min="3081" max="3081" width="5.5703125" style="38" customWidth="1"/>
    <col min="3082" max="3082" width="5.140625" style="38" customWidth="1"/>
    <col min="3083" max="3083" width="6.5703125" style="38" customWidth="1"/>
    <col min="3084" max="3084" width="6.28515625" style="38" customWidth="1"/>
    <col min="3085" max="3085" width="5.42578125" style="38" customWidth="1"/>
    <col min="3086" max="3086" width="6" style="38" customWidth="1"/>
    <col min="3087" max="3328" width="9.140625" style="38"/>
    <col min="3329" max="3329" width="2.28515625" style="38" customWidth="1"/>
    <col min="3330" max="3330" width="39.85546875" style="38" customWidth="1"/>
    <col min="3331" max="3331" width="6.28515625" style="38" customWidth="1"/>
    <col min="3332" max="3332" width="6.5703125" style="38" customWidth="1"/>
    <col min="3333" max="3333" width="6.140625" style="38" customWidth="1"/>
    <col min="3334" max="3334" width="5.140625" style="38" customWidth="1"/>
    <col min="3335" max="3335" width="6.42578125" style="38" customWidth="1"/>
    <col min="3336" max="3336" width="6.85546875" style="38" customWidth="1"/>
    <col min="3337" max="3337" width="5.5703125" style="38" customWidth="1"/>
    <col min="3338" max="3338" width="5.140625" style="38" customWidth="1"/>
    <col min="3339" max="3339" width="6.5703125" style="38" customWidth="1"/>
    <col min="3340" max="3340" width="6.28515625" style="38" customWidth="1"/>
    <col min="3341" max="3341" width="5.42578125" style="38" customWidth="1"/>
    <col min="3342" max="3342" width="6" style="38" customWidth="1"/>
    <col min="3343" max="3584" width="9.140625" style="38"/>
    <col min="3585" max="3585" width="2.28515625" style="38" customWidth="1"/>
    <col min="3586" max="3586" width="39.85546875" style="38" customWidth="1"/>
    <col min="3587" max="3587" width="6.28515625" style="38" customWidth="1"/>
    <col min="3588" max="3588" width="6.5703125" style="38" customWidth="1"/>
    <col min="3589" max="3589" width="6.140625" style="38" customWidth="1"/>
    <col min="3590" max="3590" width="5.140625" style="38" customWidth="1"/>
    <col min="3591" max="3591" width="6.42578125" style="38" customWidth="1"/>
    <col min="3592" max="3592" width="6.85546875" style="38" customWidth="1"/>
    <col min="3593" max="3593" width="5.5703125" style="38" customWidth="1"/>
    <col min="3594" max="3594" width="5.140625" style="38" customWidth="1"/>
    <col min="3595" max="3595" width="6.5703125" style="38" customWidth="1"/>
    <col min="3596" max="3596" width="6.28515625" style="38" customWidth="1"/>
    <col min="3597" max="3597" width="5.42578125" style="38" customWidth="1"/>
    <col min="3598" max="3598" width="6" style="38" customWidth="1"/>
    <col min="3599" max="3840" width="9.140625" style="38"/>
    <col min="3841" max="3841" width="2.28515625" style="38" customWidth="1"/>
    <col min="3842" max="3842" width="39.85546875" style="38" customWidth="1"/>
    <col min="3843" max="3843" width="6.28515625" style="38" customWidth="1"/>
    <col min="3844" max="3844" width="6.5703125" style="38" customWidth="1"/>
    <col min="3845" max="3845" width="6.140625" style="38" customWidth="1"/>
    <col min="3846" max="3846" width="5.140625" style="38" customWidth="1"/>
    <col min="3847" max="3847" width="6.42578125" style="38" customWidth="1"/>
    <col min="3848" max="3848" width="6.85546875" style="38" customWidth="1"/>
    <col min="3849" max="3849" width="5.5703125" style="38" customWidth="1"/>
    <col min="3850" max="3850" width="5.140625" style="38" customWidth="1"/>
    <col min="3851" max="3851" width="6.5703125" style="38" customWidth="1"/>
    <col min="3852" max="3852" width="6.28515625" style="38" customWidth="1"/>
    <col min="3853" max="3853" width="5.42578125" style="38" customWidth="1"/>
    <col min="3854" max="3854" width="6" style="38" customWidth="1"/>
    <col min="3855" max="4096" width="9.140625" style="38"/>
    <col min="4097" max="4097" width="2.28515625" style="38" customWidth="1"/>
    <col min="4098" max="4098" width="39.85546875" style="38" customWidth="1"/>
    <col min="4099" max="4099" width="6.28515625" style="38" customWidth="1"/>
    <col min="4100" max="4100" width="6.5703125" style="38" customWidth="1"/>
    <col min="4101" max="4101" width="6.140625" style="38" customWidth="1"/>
    <col min="4102" max="4102" width="5.140625" style="38" customWidth="1"/>
    <col min="4103" max="4103" width="6.42578125" style="38" customWidth="1"/>
    <col min="4104" max="4104" width="6.85546875" style="38" customWidth="1"/>
    <col min="4105" max="4105" width="5.5703125" style="38" customWidth="1"/>
    <col min="4106" max="4106" width="5.140625" style="38" customWidth="1"/>
    <col min="4107" max="4107" width="6.5703125" style="38" customWidth="1"/>
    <col min="4108" max="4108" width="6.28515625" style="38" customWidth="1"/>
    <col min="4109" max="4109" width="5.42578125" style="38" customWidth="1"/>
    <col min="4110" max="4110" width="6" style="38" customWidth="1"/>
    <col min="4111" max="4352" width="9.140625" style="38"/>
    <col min="4353" max="4353" width="2.28515625" style="38" customWidth="1"/>
    <col min="4354" max="4354" width="39.85546875" style="38" customWidth="1"/>
    <col min="4355" max="4355" width="6.28515625" style="38" customWidth="1"/>
    <col min="4356" max="4356" width="6.5703125" style="38" customWidth="1"/>
    <col min="4357" max="4357" width="6.140625" style="38" customWidth="1"/>
    <col min="4358" max="4358" width="5.140625" style="38" customWidth="1"/>
    <col min="4359" max="4359" width="6.42578125" style="38" customWidth="1"/>
    <col min="4360" max="4360" width="6.85546875" style="38" customWidth="1"/>
    <col min="4361" max="4361" width="5.5703125" style="38" customWidth="1"/>
    <col min="4362" max="4362" width="5.140625" style="38" customWidth="1"/>
    <col min="4363" max="4363" width="6.5703125" style="38" customWidth="1"/>
    <col min="4364" max="4364" width="6.28515625" style="38" customWidth="1"/>
    <col min="4365" max="4365" width="5.42578125" style="38" customWidth="1"/>
    <col min="4366" max="4366" width="6" style="38" customWidth="1"/>
    <col min="4367" max="4608" width="9.140625" style="38"/>
    <col min="4609" max="4609" width="2.28515625" style="38" customWidth="1"/>
    <col min="4610" max="4610" width="39.85546875" style="38" customWidth="1"/>
    <col min="4611" max="4611" width="6.28515625" style="38" customWidth="1"/>
    <col min="4612" max="4612" width="6.5703125" style="38" customWidth="1"/>
    <col min="4613" max="4613" width="6.140625" style="38" customWidth="1"/>
    <col min="4614" max="4614" width="5.140625" style="38" customWidth="1"/>
    <col min="4615" max="4615" width="6.42578125" style="38" customWidth="1"/>
    <col min="4616" max="4616" width="6.85546875" style="38" customWidth="1"/>
    <col min="4617" max="4617" width="5.5703125" style="38" customWidth="1"/>
    <col min="4618" max="4618" width="5.140625" style="38" customWidth="1"/>
    <col min="4619" max="4619" width="6.5703125" style="38" customWidth="1"/>
    <col min="4620" max="4620" width="6.28515625" style="38" customWidth="1"/>
    <col min="4621" max="4621" width="5.42578125" style="38" customWidth="1"/>
    <col min="4622" max="4622" width="6" style="38" customWidth="1"/>
    <col min="4623" max="4864" width="9.140625" style="38"/>
    <col min="4865" max="4865" width="2.28515625" style="38" customWidth="1"/>
    <col min="4866" max="4866" width="39.85546875" style="38" customWidth="1"/>
    <col min="4867" max="4867" width="6.28515625" style="38" customWidth="1"/>
    <col min="4868" max="4868" width="6.5703125" style="38" customWidth="1"/>
    <col min="4869" max="4869" width="6.140625" style="38" customWidth="1"/>
    <col min="4870" max="4870" width="5.140625" style="38" customWidth="1"/>
    <col min="4871" max="4871" width="6.42578125" style="38" customWidth="1"/>
    <col min="4872" max="4872" width="6.85546875" style="38" customWidth="1"/>
    <col min="4873" max="4873" width="5.5703125" style="38" customWidth="1"/>
    <col min="4874" max="4874" width="5.140625" style="38" customWidth="1"/>
    <col min="4875" max="4875" width="6.5703125" style="38" customWidth="1"/>
    <col min="4876" max="4876" width="6.28515625" style="38" customWidth="1"/>
    <col min="4877" max="4877" width="5.42578125" style="38" customWidth="1"/>
    <col min="4878" max="4878" width="6" style="38" customWidth="1"/>
    <col min="4879" max="5120" width="9.140625" style="38"/>
    <col min="5121" max="5121" width="2.28515625" style="38" customWidth="1"/>
    <col min="5122" max="5122" width="39.85546875" style="38" customWidth="1"/>
    <col min="5123" max="5123" width="6.28515625" style="38" customWidth="1"/>
    <col min="5124" max="5124" width="6.5703125" style="38" customWidth="1"/>
    <col min="5125" max="5125" width="6.140625" style="38" customWidth="1"/>
    <col min="5126" max="5126" width="5.140625" style="38" customWidth="1"/>
    <col min="5127" max="5127" width="6.42578125" style="38" customWidth="1"/>
    <col min="5128" max="5128" width="6.85546875" style="38" customWidth="1"/>
    <col min="5129" max="5129" width="5.5703125" style="38" customWidth="1"/>
    <col min="5130" max="5130" width="5.140625" style="38" customWidth="1"/>
    <col min="5131" max="5131" width="6.5703125" style="38" customWidth="1"/>
    <col min="5132" max="5132" width="6.28515625" style="38" customWidth="1"/>
    <col min="5133" max="5133" width="5.42578125" style="38" customWidth="1"/>
    <col min="5134" max="5134" width="6" style="38" customWidth="1"/>
    <col min="5135" max="5376" width="9.140625" style="38"/>
    <col min="5377" max="5377" width="2.28515625" style="38" customWidth="1"/>
    <col min="5378" max="5378" width="39.85546875" style="38" customWidth="1"/>
    <col min="5379" max="5379" width="6.28515625" style="38" customWidth="1"/>
    <col min="5380" max="5380" width="6.5703125" style="38" customWidth="1"/>
    <col min="5381" max="5381" width="6.140625" style="38" customWidth="1"/>
    <col min="5382" max="5382" width="5.140625" style="38" customWidth="1"/>
    <col min="5383" max="5383" width="6.42578125" style="38" customWidth="1"/>
    <col min="5384" max="5384" width="6.85546875" style="38" customWidth="1"/>
    <col min="5385" max="5385" width="5.5703125" style="38" customWidth="1"/>
    <col min="5386" max="5386" width="5.140625" style="38" customWidth="1"/>
    <col min="5387" max="5387" width="6.5703125" style="38" customWidth="1"/>
    <col min="5388" max="5388" width="6.28515625" style="38" customWidth="1"/>
    <col min="5389" max="5389" width="5.42578125" style="38" customWidth="1"/>
    <col min="5390" max="5390" width="6" style="38" customWidth="1"/>
    <col min="5391" max="5632" width="9.140625" style="38"/>
    <col min="5633" max="5633" width="2.28515625" style="38" customWidth="1"/>
    <col min="5634" max="5634" width="39.85546875" style="38" customWidth="1"/>
    <col min="5635" max="5635" width="6.28515625" style="38" customWidth="1"/>
    <col min="5636" max="5636" width="6.5703125" style="38" customWidth="1"/>
    <col min="5637" max="5637" width="6.140625" style="38" customWidth="1"/>
    <col min="5638" max="5638" width="5.140625" style="38" customWidth="1"/>
    <col min="5639" max="5639" width="6.42578125" style="38" customWidth="1"/>
    <col min="5640" max="5640" width="6.85546875" style="38" customWidth="1"/>
    <col min="5641" max="5641" width="5.5703125" style="38" customWidth="1"/>
    <col min="5642" max="5642" width="5.140625" style="38" customWidth="1"/>
    <col min="5643" max="5643" width="6.5703125" style="38" customWidth="1"/>
    <col min="5644" max="5644" width="6.28515625" style="38" customWidth="1"/>
    <col min="5645" max="5645" width="5.42578125" style="38" customWidth="1"/>
    <col min="5646" max="5646" width="6" style="38" customWidth="1"/>
    <col min="5647" max="5888" width="9.140625" style="38"/>
    <col min="5889" max="5889" width="2.28515625" style="38" customWidth="1"/>
    <col min="5890" max="5890" width="39.85546875" style="38" customWidth="1"/>
    <col min="5891" max="5891" width="6.28515625" style="38" customWidth="1"/>
    <col min="5892" max="5892" width="6.5703125" style="38" customWidth="1"/>
    <col min="5893" max="5893" width="6.140625" style="38" customWidth="1"/>
    <col min="5894" max="5894" width="5.140625" style="38" customWidth="1"/>
    <col min="5895" max="5895" width="6.42578125" style="38" customWidth="1"/>
    <col min="5896" max="5896" width="6.85546875" style="38" customWidth="1"/>
    <col min="5897" max="5897" width="5.5703125" style="38" customWidth="1"/>
    <col min="5898" max="5898" width="5.140625" style="38" customWidth="1"/>
    <col min="5899" max="5899" width="6.5703125" style="38" customWidth="1"/>
    <col min="5900" max="5900" width="6.28515625" style="38" customWidth="1"/>
    <col min="5901" max="5901" width="5.42578125" style="38" customWidth="1"/>
    <col min="5902" max="5902" width="6" style="38" customWidth="1"/>
    <col min="5903" max="6144" width="9.140625" style="38"/>
    <col min="6145" max="6145" width="2.28515625" style="38" customWidth="1"/>
    <col min="6146" max="6146" width="39.85546875" style="38" customWidth="1"/>
    <col min="6147" max="6147" width="6.28515625" style="38" customWidth="1"/>
    <col min="6148" max="6148" width="6.5703125" style="38" customWidth="1"/>
    <col min="6149" max="6149" width="6.140625" style="38" customWidth="1"/>
    <col min="6150" max="6150" width="5.140625" style="38" customWidth="1"/>
    <col min="6151" max="6151" width="6.42578125" style="38" customWidth="1"/>
    <col min="6152" max="6152" width="6.85546875" style="38" customWidth="1"/>
    <col min="6153" max="6153" width="5.5703125" style="38" customWidth="1"/>
    <col min="6154" max="6154" width="5.140625" style="38" customWidth="1"/>
    <col min="6155" max="6155" width="6.5703125" style="38" customWidth="1"/>
    <col min="6156" max="6156" width="6.28515625" style="38" customWidth="1"/>
    <col min="6157" max="6157" width="5.42578125" style="38" customWidth="1"/>
    <col min="6158" max="6158" width="6" style="38" customWidth="1"/>
    <col min="6159" max="6400" width="9.140625" style="38"/>
    <col min="6401" max="6401" width="2.28515625" style="38" customWidth="1"/>
    <col min="6402" max="6402" width="39.85546875" style="38" customWidth="1"/>
    <col min="6403" max="6403" width="6.28515625" style="38" customWidth="1"/>
    <col min="6404" max="6404" width="6.5703125" style="38" customWidth="1"/>
    <col min="6405" max="6405" width="6.140625" style="38" customWidth="1"/>
    <col min="6406" max="6406" width="5.140625" style="38" customWidth="1"/>
    <col min="6407" max="6407" width="6.42578125" style="38" customWidth="1"/>
    <col min="6408" max="6408" width="6.85546875" style="38" customWidth="1"/>
    <col min="6409" max="6409" width="5.5703125" style="38" customWidth="1"/>
    <col min="6410" max="6410" width="5.140625" style="38" customWidth="1"/>
    <col min="6411" max="6411" width="6.5703125" style="38" customWidth="1"/>
    <col min="6412" max="6412" width="6.28515625" style="38" customWidth="1"/>
    <col min="6413" max="6413" width="5.42578125" style="38" customWidth="1"/>
    <col min="6414" max="6414" width="6" style="38" customWidth="1"/>
    <col min="6415" max="6656" width="9.140625" style="38"/>
    <col min="6657" max="6657" width="2.28515625" style="38" customWidth="1"/>
    <col min="6658" max="6658" width="39.85546875" style="38" customWidth="1"/>
    <col min="6659" max="6659" width="6.28515625" style="38" customWidth="1"/>
    <col min="6660" max="6660" width="6.5703125" style="38" customWidth="1"/>
    <col min="6661" max="6661" width="6.140625" style="38" customWidth="1"/>
    <col min="6662" max="6662" width="5.140625" style="38" customWidth="1"/>
    <col min="6663" max="6663" width="6.42578125" style="38" customWidth="1"/>
    <col min="6664" max="6664" width="6.85546875" style="38" customWidth="1"/>
    <col min="6665" max="6665" width="5.5703125" style="38" customWidth="1"/>
    <col min="6666" max="6666" width="5.140625" style="38" customWidth="1"/>
    <col min="6667" max="6667" width="6.5703125" style="38" customWidth="1"/>
    <col min="6668" max="6668" width="6.28515625" style="38" customWidth="1"/>
    <col min="6669" max="6669" width="5.42578125" style="38" customWidth="1"/>
    <col min="6670" max="6670" width="6" style="38" customWidth="1"/>
    <col min="6671" max="6912" width="9.140625" style="38"/>
    <col min="6913" max="6913" width="2.28515625" style="38" customWidth="1"/>
    <col min="6914" max="6914" width="39.85546875" style="38" customWidth="1"/>
    <col min="6915" max="6915" width="6.28515625" style="38" customWidth="1"/>
    <col min="6916" max="6916" width="6.5703125" style="38" customWidth="1"/>
    <col min="6917" max="6917" width="6.140625" style="38" customWidth="1"/>
    <col min="6918" max="6918" width="5.140625" style="38" customWidth="1"/>
    <col min="6919" max="6919" width="6.42578125" style="38" customWidth="1"/>
    <col min="6920" max="6920" width="6.85546875" style="38" customWidth="1"/>
    <col min="6921" max="6921" width="5.5703125" style="38" customWidth="1"/>
    <col min="6922" max="6922" width="5.140625" style="38" customWidth="1"/>
    <col min="6923" max="6923" width="6.5703125" style="38" customWidth="1"/>
    <col min="6924" max="6924" width="6.28515625" style="38" customWidth="1"/>
    <col min="6925" max="6925" width="5.42578125" style="38" customWidth="1"/>
    <col min="6926" max="6926" width="6" style="38" customWidth="1"/>
    <col min="6927" max="7168" width="9.140625" style="38"/>
    <col min="7169" max="7169" width="2.28515625" style="38" customWidth="1"/>
    <col min="7170" max="7170" width="39.85546875" style="38" customWidth="1"/>
    <col min="7171" max="7171" width="6.28515625" style="38" customWidth="1"/>
    <col min="7172" max="7172" width="6.5703125" style="38" customWidth="1"/>
    <col min="7173" max="7173" width="6.140625" style="38" customWidth="1"/>
    <col min="7174" max="7174" width="5.140625" style="38" customWidth="1"/>
    <col min="7175" max="7175" width="6.42578125" style="38" customWidth="1"/>
    <col min="7176" max="7176" width="6.85546875" style="38" customWidth="1"/>
    <col min="7177" max="7177" width="5.5703125" style="38" customWidth="1"/>
    <col min="7178" max="7178" width="5.140625" style="38" customWidth="1"/>
    <col min="7179" max="7179" width="6.5703125" style="38" customWidth="1"/>
    <col min="7180" max="7180" width="6.28515625" style="38" customWidth="1"/>
    <col min="7181" max="7181" width="5.42578125" style="38" customWidth="1"/>
    <col min="7182" max="7182" width="6" style="38" customWidth="1"/>
    <col min="7183" max="7424" width="9.140625" style="38"/>
    <col min="7425" max="7425" width="2.28515625" style="38" customWidth="1"/>
    <col min="7426" max="7426" width="39.85546875" style="38" customWidth="1"/>
    <col min="7427" max="7427" width="6.28515625" style="38" customWidth="1"/>
    <col min="7428" max="7428" width="6.5703125" style="38" customWidth="1"/>
    <col min="7429" max="7429" width="6.140625" style="38" customWidth="1"/>
    <col min="7430" max="7430" width="5.140625" style="38" customWidth="1"/>
    <col min="7431" max="7431" width="6.42578125" style="38" customWidth="1"/>
    <col min="7432" max="7432" width="6.85546875" style="38" customWidth="1"/>
    <col min="7433" max="7433" width="5.5703125" style="38" customWidth="1"/>
    <col min="7434" max="7434" width="5.140625" style="38" customWidth="1"/>
    <col min="7435" max="7435" width="6.5703125" style="38" customWidth="1"/>
    <col min="7436" max="7436" width="6.28515625" style="38" customWidth="1"/>
    <col min="7437" max="7437" width="5.42578125" style="38" customWidth="1"/>
    <col min="7438" max="7438" width="6" style="38" customWidth="1"/>
    <col min="7439" max="7680" width="9.140625" style="38"/>
    <col min="7681" max="7681" width="2.28515625" style="38" customWidth="1"/>
    <col min="7682" max="7682" width="39.85546875" style="38" customWidth="1"/>
    <col min="7683" max="7683" width="6.28515625" style="38" customWidth="1"/>
    <col min="7684" max="7684" width="6.5703125" style="38" customWidth="1"/>
    <col min="7685" max="7685" width="6.140625" style="38" customWidth="1"/>
    <col min="7686" max="7686" width="5.140625" style="38" customWidth="1"/>
    <col min="7687" max="7687" width="6.42578125" style="38" customWidth="1"/>
    <col min="7688" max="7688" width="6.85546875" style="38" customWidth="1"/>
    <col min="7689" max="7689" width="5.5703125" style="38" customWidth="1"/>
    <col min="7690" max="7690" width="5.140625" style="38" customWidth="1"/>
    <col min="7691" max="7691" width="6.5703125" style="38" customWidth="1"/>
    <col min="7692" max="7692" width="6.28515625" style="38" customWidth="1"/>
    <col min="7693" max="7693" width="5.42578125" style="38" customWidth="1"/>
    <col min="7694" max="7694" width="6" style="38" customWidth="1"/>
    <col min="7695" max="7936" width="9.140625" style="38"/>
    <col min="7937" max="7937" width="2.28515625" style="38" customWidth="1"/>
    <col min="7938" max="7938" width="39.85546875" style="38" customWidth="1"/>
    <col min="7939" max="7939" width="6.28515625" style="38" customWidth="1"/>
    <col min="7940" max="7940" width="6.5703125" style="38" customWidth="1"/>
    <col min="7941" max="7941" width="6.140625" style="38" customWidth="1"/>
    <col min="7942" max="7942" width="5.140625" style="38" customWidth="1"/>
    <col min="7943" max="7943" width="6.42578125" style="38" customWidth="1"/>
    <col min="7944" max="7944" width="6.85546875" style="38" customWidth="1"/>
    <col min="7945" max="7945" width="5.5703125" style="38" customWidth="1"/>
    <col min="7946" max="7946" width="5.140625" style="38" customWidth="1"/>
    <col min="7947" max="7947" width="6.5703125" style="38" customWidth="1"/>
    <col min="7948" max="7948" width="6.28515625" style="38" customWidth="1"/>
    <col min="7949" max="7949" width="5.42578125" style="38" customWidth="1"/>
    <col min="7950" max="7950" width="6" style="38" customWidth="1"/>
    <col min="7951" max="8192" width="9.140625" style="38"/>
    <col min="8193" max="8193" width="2.28515625" style="38" customWidth="1"/>
    <col min="8194" max="8194" width="39.85546875" style="38" customWidth="1"/>
    <col min="8195" max="8195" width="6.28515625" style="38" customWidth="1"/>
    <col min="8196" max="8196" width="6.5703125" style="38" customWidth="1"/>
    <col min="8197" max="8197" width="6.140625" style="38" customWidth="1"/>
    <col min="8198" max="8198" width="5.140625" style="38" customWidth="1"/>
    <col min="8199" max="8199" width="6.42578125" style="38" customWidth="1"/>
    <col min="8200" max="8200" width="6.85546875" style="38" customWidth="1"/>
    <col min="8201" max="8201" width="5.5703125" style="38" customWidth="1"/>
    <col min="8202" max="8202" width="5.140625" style="38" customWidth="1"/>
    <col min="8203" max="8203" width="6.5703125" style="38" customWidth="1"/>
    <col min="8204" max="8204" width="6.28515625" style="38" customWidth="1"/>
    <col min="8205" max="8205" width="5.42578125" style="38" customWidth="1"/>
    <col min="8206" max="8206" width="6" style="38" customWidth="1"/>
    <col min="8207" max="8448" width="9.140625" style="38"/>
    <col min="8449" max="8449" width="2.28515625" style="38" customWidth="1"/>
    <col min="8450" max="8450" width="39.85546875" style="38" customWidth="1"/>
    <col min="8451" max="8451" width="6.28515625" style="38" customWidth="1"/>
    <col min="8452" max="8452" width="6.5703125" style="38" customWidth="1"/>
    <col min="8453" max="8453" width="6.140625" style="38" customWidth="1"/>
    <col min="8454" max="8454" width="5.140625" style="38" customWidth="1"/>
    <col min="8455" max="8455" width="6.42578125" style="38" customWidth="1"/>
    <col min="8456" max="8456" width="6.85546875" style="38" customWidth="1"/>
    <col min="8457" max="8457" width="5.5703125" style="38" customWidth="1"/>
    <col min="8458" max="8458" width="5.140625" style="38" customWidth="1"/>
    <col min="8459" max="8459" width="6.5703125" style="38" customWidth="1"/>
    <col min="8460" max="8460" width="6.28515625" style="38" customWidth="1"/>
    <col min="8461" max="8461" width="5.42578125" style="38" customWidth="1"/>
    <col min="8462" max="8462" width="6" style="38" customWidth="1"/>
    <col min="8463" max="8704" width="9.140625" style="38"/>
    <col min="8705" max="8705" width="2.28515625" style="38" customWidth="1"/>
    <col min="8706" max="8706" width="39.85546875" style="38" customWidth="1"/>
    <col min="8707" max="8707" width="6.28515625" style="38" customWidth="1"/>
    <col min="8708" max="8708" width="6.5703125" style="38" customWidth="1"/>
    <col min="8709" max="8709" width="6.140625" style="38" customWidth="1"/>
    <col min="8710" max="8710" width="5.140625" style="38" customWidth="1"/>
    <col min="8711" max="8711" width="6.42578125" style="38" customWidth="1"/>
    <col min="8712" max="8712" width="6.85546875" style="38" customWidth="1"/>
    <col min="8713" max="8713" width="5.5703125" style="38" customWidth="1"/>
    <col min="8714" max="8714" width="5.140625" style="38" customWidth="1"/>
    <col min="8715" max="8715" width="6.5703125" style="38" customWidth="1"/>
    <col min="8716" max="8716" width="6.28515625" style="38" customWidth="1"/>
    <col min="8717" max="8717" width="5.42578125" style="38" customWidth="1"/>
    <col min="8718" max="8718" width="6" style="38" customWidth="1"/>
    <col min="8719" max="8960" width="9.140625" style="38"/>
    <col min="8961" max="8961" width="2.28515625" style="38" customWidth="1"/>
    <col min="8962" max="8962" width="39.85546875" style="38" customWidth="1"/>
    <col min="8963" max="8963" width="6.28515625" style="38" customWidth="1"/>
    <col min="8964" max="8964" width="6.5703125" style="38" customWidth="1"/>
    <col min="8965" max="8965" width="6.140625" style="38" customWidth="1"/>
    <col min="8966" max="8966" width="5.140625" style="38" customWidth="1"/>
    <col min="8967" max="8967" width="6.42578125" style="38" customWidth="1"/>
    <col min="8968" max="8968" width="6.85546875" style="38" customWidth="1"/>
    <col min="8969" max="8969" width="5.5703125" style="38" customWidth="1"/>
    <col min="8970" max="8970" width="5.140625" style="38" customWidth="1"/>
    <col min="8971" max="8971" width="6.5703125" style="38" customWidth="1"/>
    <col min="8972" max="8972" width="6.28515625" style="38" customWidth="1"/>
    <col min="8973" max="8973" width="5.42578125" style="38" customWidth="1"/>
    <col min="8974" max="8974" width="6" style="38" customWidth="1"/>
    <col min="8975" max="9216" width="9.140625" style="38"/>
    <col min="9217" max="9217" width="2.28515625" style="38" customWidth="1"/>
    <col min="9218" max="9218" width="39.85546875" style="38" customWidth="1"/>
    <col min="9219" max="9219" width="6.28515625" style="38" customWidth="1"/>
    <col min="9220" max="9220" width="6.5703125" style="38" customWidth="1"/>
    <col min="9221" max="9221" width="6.140625" style="38" customWidth="1"/>
    <col min="9222" max="9222" width="5.140625" style="38" customWidth="1"/>
    <col min="9223" max="9223" width="6.42578125" style="38" customWidth="1"/>
    <col min="9224" max="9224" width="6.85546875" style="38" customWidth="1"/>
    <col min="9225" max="9225" width="5.5703125" style="38" customWidth="1"/>
    <col min="9226" max="9226" width="5.140625" style="38" customWidth="1"/>
    <col min="9227" max="9227" width="6.5703125" style="38" customWidth="1"/>
    <col min="9228" max="9228" width="6.28515625" style="38" customWidth="1"/>
    <col min="9229" max="9229" width="5.42578125" style="38" customWidth="1"/>
    <col min="9230" max="9230" width="6" style="38" customWidth="1"/>
    <col min="9231" max="9472" width="9.140625" style="38"/>
    <col min="9473" max="9473" width="2.28515625" style="38" customWidth="1"/>
    <col min="9474" max="9474" width="39.85546875" style="38" customWidth="1"/>
    <col min="9475" max="9475" width="6.28515625" style="38" customWidth="1"/>
    <col min="9476" max="9476" width="6.5703125" style="38" customWidth="1"/>
    <col min="9477" max="9477" width="6.140625" style="38" customWidth="1"/>
    <col min="9478" max="9478" width="5.140625" style="38" customWidth="1"/>
    <col min="9479" max="9479" width="6.42578125" style="38" customWidth="1"/>
    <col min="9480" max="9480" width="6.85546875" style="38" customWidth="1"/>
    <col min="9481" max="9481" width="5.5703125" style="38" customWidth="1"/>
    <col min="9482" max="9482" width="5.140625" style="38" customWidth="1"/>
    <col min="9483" max="9483" width="6.5703125" style="38" customWidth="1"/>
    <col min="9484" max="9484" width="6.28515625" style="38" customWidth="1"/>
    <col min="9485" max="9485" width="5.42578125" style="38" customWidth="1"/>
    <col min="9486" max="9486" width="6" style="38" customWidth="1"/>
    <col min="9487" max="9728" width="9.140625" style="38"/>
    <col min="9729" max="9729" width="2.28515625" style="38" customWidth="1"/>
    <col min="9730" max="9730" width="39.85546875" style="38" customWidth="1"/>
    <col min="9731" max="9731" width="6.28515625" style="38" customWidth="1"/>
    <col min="9732" max="9732" width="6.5703125" style="38" customWidth="1"/>
    <col min="9733" max="9733" width="6.140625" style="38" customWidth="1"/>
    <col min="9734" max="9734" width="5.140625" style="38" customWidth="1"/>
    <col min="9735" max="9735" width="6.42578125" style="38" customWidth="1"/>
    <col min="9736" max="9736" width="6.85546875" style="38" customWidth="1"/>
    <col min="9737" max="9737" width="5.5703125" style="38" customWidth="1"/>
    <col min="9738" max="9738" width="5.140625" style="38" customWidth="1"/>
    <col min="9739" max="9739" width="6.5703125" style="38" customWidth="1"/>
    <col min="9740" max="9740" width="6.28515625" style="38" customWidth="1"/>
    <col min="9741" max="9741" width="5.42578125" style="38" customWidth="1"/>
    <col min="9742" max="9742" width="6" style="38" customWidth="1"/>
    <col min="9743" max="9984" width="9.140625" style="38"/>
    <col min="9985" max="9985" width="2.28515625" style="38" customWidth="1"/>
    <col min="9986" max="9986" width="39.85546875" style="38" customWidth="1"/>
    <col min="9987" max="9987" width="6.28515625" style="38" customWidth="1"/>
    <col min="9988" max="9988" width="6.5703125" style="38" customWidth="1"/>
    <col min="9989" max="9989" width="6.140625" style="38" customWidth="1"/>
    <col min="9990" max="9990" width="5.140625" style="38" customWidth="1"/>
    <col min="9991" max="9991" width="6.42578125" style="38" customWidth="1"/>
    <col min="9992" max="9992" width="6.85546875" style="38" customWidth="1"/>
    <col min="9993" max="9993" width="5.5703125" style="38" customWidth="1"/>
    <col min="9994" max="9994" width="5.140625" style="38" customWidth="1"/>
    <col min="9995" max="9995" width="6.5703125" style="38" customWidth="1"/>
    <col min="9996" max="9996" width="6.28515625" style="38" customWidth="1"/>
    <col min="9997" max="9997" width="5.42578125" style="38" customWidth="1"/>
    <col min="9998" max="9998" width="6" style="38" customWidth="1"/>
    <col min="9999" max="10240" width="9.140625" style="38"/>
    <col min="10241" max="10241" width="2.28515625" style="38" customWidth="1"/>
    <col min="10242" max="10242" width="39.85546875" style="38" customWidth="1"/>
    <col min="10243" max="10243" width="6.28515625" style="38" customWidth="1"/>
    <col min="10244" max="10244" width="6.5703125" style="38" customWidth="1"/>
    <col min="10245" max="10245" width="6.140625" style="38" customWidth="1"/>
    <col min="10246" max="10246" width="5.140625" style="38" customWidth="1"/>
    <col min="10247" max="10247" width="6.42578125" style="38" customWidth="1"/>
    <col min="10248" max="10248" width="6.85546875" style="38" customWidth="1"/>
    <col min="10249" max="10249" width="5.5703125" style="38" customWidth="1"/>
    <col min="10250" max="10250" width="5.140625" style="38" customWidth="1"/>
    <col min="10251" max="10251" width="6.5703125" style="38" customWidth="1"/>
    <col min="10252" max="10252" width="6.28515625" style="38" customWidth="1"/>
    <col min="10253" max="10253" width="5.42578125" style="38" customWidth="1"/>
    <col min="10254" max="10254" width="6" style="38" customWidth="1"/>
    <col min="10255" max="10496" width="9.140625" style="38"/>
    <col min="10497" max="10497" width="2.28515625" style="38" customWidth="1"/>
    <col min="10498" max="10498" width="39.85546875" style="38" customWidth="1"/>
    <col min="10499" max="10499" width="6.28515625" style="38" customWidth="1"/>
    <col min="10500" max="10500" width="6.5703125" style="38" customWidth="1"/>
    <col min="10501" max="10501" width="6.140625" style="38" customWidth="1"/>
    <col min="10502" max="10502" width="5.140625" style="38" customWidth="1"/>
    <col min="10503" max="10503" width="6.42578125" style="38" customWidth="1"/>
    <col min="10504" max="10504" width="6.85546875" style="38" customWidth="1"/>
    <col min="10505" max="10505" width="5.5703125" style="38" customWidth="1"/>
    <col min="10506" max="10506" width="5.140625" style="38" customWidth="1"/>
    <col min="10507" max="10507" width="6.5703125" style="38" customWidth="1"/>
    <col min="10508" max="10508" width="6.28515625" style="38" customWidth="1"/>
    <col min="10509" max="10509" width="5.42578125" style="38" customWidth="1"/>
    <col min="10510" max="10510" width="6" style="38" customWidth="1"/>
    <col min="10511" max="10752" width="9.140625" style="38"/>
    <col min="10753" max="10753" width="2.28515625" style="38" customWidth="1"/>
    <col min="10754" max="10754" width="39.85546875" style="38" customWidth="1"/>
    <col min="10755" max="10755" width="6.28515625" style="38" customWidth="1"/>
    <col min="10756" max="10756" width="6.5703125" style="38" customWidth="1"/>
    <col min="10757" max="10757" width="6.140625" style="38" customWidth="1"/>
    <col min="10758" max="10758" width="5.140625" style="38" customWidth="1"/>
    <col min="10759" max="10759" width="6.42578125" style="38" customWidth="1"/>
    <col min="10760" max="10760" width="6.85546875" style="38" customWidth="1"/>
    <col min="10761" max="10761" width="5.5703125" style="38" customWidth="1"/>
    <col min="10762" max="10762" width="5.140625" style="38" customWidth="1"/>
    <col min="10763" max="10763" width="6.5703125" style="38" customWidth="1"/>
    <col min="10764" max="10764" width="6.28515625" style="38" customWidth="1"/>
    <col min="10765" max="10765" width="5.42578125" style="38" customWidth="1"/>
    <col min="10766" max="10766" width="6" style="38" customWidth="1"/>
    <col min="10767" max="11008" width="9.140625" style="38"/>
    <col min="11009" max="11009" width="2.28515625" style="38" customWidth="1"/>
    <col min="11010" max="11010" width="39.85546875" style="38" customWidth="1"/>
    <col min="11011" max="11011" width="6.28515625" style="38" customWidth="1"/>
    <col min="11012" max="11012" width="6.5703125" style="38" customWidth="1"/>
    <col min="11013" max="11013" width="6.140625" style="38" customWidth="1"/>
    <col min="11014" max="11014" width="5.140625" style="38" customWidth="1"/>
    <col min="11015" max="11015" width="6.42578125" style="38" customWidth="1"/>
    <col min="11016" max="11016" width="6.85546875" style="38" customWidth="1"/>
    <col min="11017" max="11017" width="5.5703125" style="38" customWidth="1"/>
    <col min="11018" max="11018" width="5.140625" style="38" customWidth="1"/>
    <col min="11019" max="11019" width="6.5703125" style="38" customWidth="1"/>
    <col min="11020" max="11020" width="6.28515625" style="38" customWidth="1"/>
    <col min="11021" max="11021" width="5.42578125" style="38" customWidth="1"/>
    <col min="11022" max="11022" width="6" style="38" customWidth="1"/>
    <col min="11023" max="11264" width="9.140625" style="38"/>
    <col min="11265" max="11265" width="2.28515625" style="38" customWidth="1"/>
    <col min="11266" max="11266" width="39.85546875" style="38" customWidth="1"/>
    <col min="11267" max="11267" width="6.28515625" style="38" customWidth="1"/>
    <col min="11268" max="11268" width="6.5703125" style="38" customWidth="1"/>
    <col min="11269" max="11269" width="6.140625" style="38" customWidth="1"/>
    <col min="11270" max="11270" width="5.140625" style="38" customWidth="1"/>
    <col min="11271" max="11271" width="6.42578125" style="38" customWidth="1"/>
    <col min="11272" max="11272" width="6.85546875" style="38" customWidth="1"/>
    <col min="11273" max="11273" width="5.5703125" style="38" customWidth="1"/>
    <col min="11274" max="11274" width="5.140625" style="38" customWidth="1"/>
    <col min="11275" max="11275" width="6.5703125" style="38" customWidth="1"/>
    <col min="11276" max="11276" width="6.28515625" style="38" customWidth="1"/>
    <col min="11277" max="11277" width="5.42578125" style="38" customWidth="1"/>
    <col min="11278" max="11278" width="6" style="38" customWidth="1"/>
    <col min="11279" max="11520" width="9.140625" style="38"/>
    <col min="11521" max="11521" width="2.28515625" style="38" customWidth="1"/>
    <col min="11522" max="11522" width="39.85546875" style="38" customWidth="1"/>
    <col min="11523" max="11523" width="6.28515625" style="38" customWidth="1"/>
    <col min="11524" max="11524" width="6.5703125" style="38" customWidth="1"/>
    <col min="11525" max="11525" width="6.140625" style="38" customWidth="1"/>
    <col min="11526" max="11526" width="5.140625" style="38" customWidth="1"/>
    <col min="11527" max="11527" width="6.42578125" style="38" customWidth="1"/>
    <col min="11528" max="11528" width="6.85546875" style="38" customWidth="1"/>
    <col min="11529" max="11529" width="5.5703125" style="38" customWidth="1"/>
    <col min="11530" max="11530" width="5.140625" style="38" customWidth="1"/>
    <col min="11531" max="11531" width="6.5703125" style="38" customWidth="1"/>
    <col min="11532" max="11532" width="6.28515625" style="38" customWidth="1"/>
    <col min="11533" max="11533" width="5.42578125" style="38" customWidth="1"/>
    <col min="11534" max="11534" width="6" style="38" customWidth="1"/>
    <col min="11535" max="11776" width="9.140625" style="38"/>
    <col min="11777" max="11777" width="2.28515625" style="38" customWidth="1"/>
    <col min="11778" max="11778" width="39.85546875" style="38" customWidth="1"/>
    <col min="11779" max="11779" width="6.28515625" style="38" customWidth="1"/>
    <col min="11780" max="11780" width="6.5703125" style="38" customWidth="1"/>
    <col min="11781" max="11781" width="6.140625" style="38" customWidth="1"/>
    <col min="11782" max="11782" width="5.140625" style="38" customWidth="1"/>
    <col min="11783" max="11783" width="6.42578125" style="38" customWidth="1"/>
    <col min="11784" max="11784" width="6.85546875" style="38" customWidth="1"/>
    <col min="11785" max="11785" width="5.5703125" style="38" customWidth="1"/>
    <col min="11786" max="11786" width="5.140625" style="38" customWidth="1"/>
    <col min="11787" max="11787" width="6.5703125" style="38" customWidth="1"/>
    <col min="11788" max="11788" width="6.28515625" style="38" customWidth="1"/>
    <col min="11789" max="11789" width="5.42578125" style="38" customWidth="1"/>
    <col min="11790" max="11790" width="6" style="38" customWidth="1"/>
    <col min="11791" max="12032" width="9.140625" style="38"/>
    <col min="12033" max="12033" width="2.28515625" style="38" customWidth="1"/>
    <col min="12034" max="12034" width="39.85546875" style="38" customWidth="1"/>
    <col min="12035" max="12035" width="6.28515625" style="38" customWidth="1"/>
    <col min="12036" max="12036" width="6.5703125" style="38" customWidth="1"/>
    <col min="12037" max="12037" width="6.140625" style="38" customWidth="1"/>
    <col min="12038" max="12038" width="5.140625" style="38" customWidth="1"/>
    <col min="12039" max="12039" width="6.42578125" style="38" customWidth="1"/>
    <col min="12040" max="12040" width="6.85546875" style="38" customWidth="1"/>
    <col min="12041" max="12041" width="5.5703125" style="38" customWidth="1"/>
    <col min="12042" max="12042" width="5.140625" style="38" customWidth="1"/>
    <col min="12043" max="12043" width="6.5703125" style="38" customWidth="1"/>
    <col min="12044" max="12044" width="6.28515625" style="38" customWidth="1"/>
    <col min="12045" max="12045" width="5.42578125" style="38" customWidth="1"/>
    <col min="12046" max="12046" width="6" style="38" customWidth="1"/>
    <col min="12047" max="12288" width="9.140625" style="38"/>
    <col min="12289" max="12289" width="2.28515625" style="38" customWidth="1"/>
    <col min="12290" max="12290" width="39.85546875" style="38" customWidth="1"/>
    <col min="12291" max="12291" width="6.28515625" style="38" customWidth="1"/>
    <col min="12292" max="12292" width="6.5703125" style="38" customWidth="1"/>
    <col min="12293" max="12293" width="6.140625" style="38" customWidth="1"/>
    <col min="12294" max="12294" width="5.140625" style="38" customWidth="1"/>
    <col min="12295" max="12295" width="6.42578125" style="38" customWidth="1"/>
    <col min="12296" max="12296" width="6.85546875" style="38" customWidth="1"/>
    <col min="12297" max="12297" width="5.5703125" style="38" customWidth="1"/>
    <col min="12298" max="12298" width="5.140625" style="38" customWidth="1"/>
    <col min="12299" max="12299" width="6.5703125" style="38" customWidth="1"/>
    <col min="12300" max="12300" width="6.28515625" style="38" customWidth="1"/>
    <col min="12301" max="12301" width="5.42578125" style="38" customWidth="1"/>
    <col min="12302" max="12302" width="6" style="38" customWidth="1"/>
    <col min="12303" max="12544" width="9.140625" style="38"/>
    <col min="12545" max="12545" width="2.28515625" style="38" customWidth="1"/>
    <col min="12546" max="12546" width="39.85546875" style="38" customWidth="1"/>
    <col min="12547" max="12547" width="6.28515625" style="38" customWidth="1"/>
    <col min="12548" max="12548" width="6.5703125" style="38" customWidth="1"/>
    <col min="12549" max="12549" width="6.140625" style="38" customWidth="1"/>
    <col min="12550" max="12550" width="5.140625" style="38" customWidth="1"/>
    <col min="12551" max="12551" width="6.42578125" style="38" customWidth="1"/>
    <col min="12552" max="12552" width="6.85546875" style="38" customWidth="1"/>
    <col min="12553" max="12553" width="5.5703125" style="38" customWidth="1"/>
    <col min="12554" max="12554" width="5.140625" style="38" customWidth="1"/>
    <col min="12555" max="12555" width="6.5703125" style="38" customWidth="1"/>
    <col min="12556" max="12556" width="6.28515625" style="38" customWidth="1"/>
    <col min="12557" max="12557" width="5.42578125" style="38" customWidth="1"/>
    <col min="12558" max="12558" width="6" style="38" customWidth="1"/>
    <col min="12559" max="12800" width="9.140625" style="38"/>
    <col min="12801" max="12801" width="2.28515625" style="38" customWidth="1"/>
    <col min="12802" max="12802" width="39.85546875" style="38" customWidth="1"/>
    <col min="12803" max="12803" width="6.28515625" style="38" customWidth="1"/>
    <col min="12804" max="12804" width="6.5703125" style="38" customWidth="1"/>
    <col min="12805" max="12805" width="6.140625" style="38" customWidth="1"/>
    <col min="12806" max="12806" width="5.140625" style="38" customWidth="1"/>
    <col min="12807" max="12807" width="6.42578125" style="38" customWidth="1"/>
    <col min="12808" max="12808" width="6.85546875" style="38" customWidth="1"/>
    <col min="12809" max="12809" width="5.5703125" style="38" customWidth="1"/>
    <col min="12810" max="12810" width="5.140625" style="38" customWidth="1"/>
    <col min="12811" max="12811" width="6.5703125" style="38" customWidth="1"/>
    <col min="12812" max="12812" width="6.28515625" style="38" customWidth="1"/>
    <col min="12813" max="12813" width="5.42578125" style="38" customWidth="1"/>
    <col min="12814" max="12814" width="6" style="38" customWidth="1"/>
    <col min="12815" max="13056" width="9.140625" style="38"/>
    <col min="13057" max="13057" width="2.28515625" style="38" customWidth="1"/>
    <col min="13058" max="13058" width="39.85546875" style="38" customWidth="1"/>
    <col min="13059" max="13059" width="6.28515625" style="38" customWidth="1"/>
    <col min="13060" max="13060" width="6.5703125" style="38" customWidth="1"/>
    <col min="13061" max="13061" width="6.140625" style="38" customWidth="1"/>
    <col min="13062" max="13062" width="5.140625" style="38" customWidth="1"/>
    <col min="13063" max="13063" width="6.42578125" style="38" customWidth="1"/>
    <col min="13064" max="13064" width="6.85546875" style="38" customWidth="1"/>
    <col min="13065" max="13065" width="5.5703125" style="38" customWidth="1"/>
    <col min="13066" max="13066" width="5.140625" style="38" customWidth="1"/>
    <col min="13067" max="13067" width="6.5703125" style="38" customWidth="1"/>
    <col min="13068" max="13068" width="6.28515625" style="38" customWidth="1"/>
    <col min="13069" max="13069" width="5.42578125" style="38" customWidth="1"/>
    <col min="13070" max="13070" width="6" style="38" customWidth="1"/>
    <col min="13071" max="13312" width="9.140625" style="38"/>
    <col min="13313" max="13313" width="2.28515625" style="38" customWidth="1"/>
    <col min="13314" max="13314" width="39.85546875" style="38" customWidth="1"/>
    <col min="13315" max="13315" width="6.28515625" style="38" customWidth="1"/>
    <col min="13316" max="13316" width="6.5703125" style="38" customWidth="1"/>
    <col min="13317" max="13317" width="6.140625" style="38" customWidth="1"/>
    <col min="13318" max="13318" width="5.140625" style="38" customWidth="1"/>
    <col min="13319" max="13319" width="6.42578125" style="38" customWidth="1"/>
    <col min="13320" max="13320" width="6.85546875" style="38" customWidth="1"/>
    <col min="13321" max="13321" width="5.5703125" style="38" customWidth="1"/>
    <col min="13322" max="13322" width="5.140625" style="38" customWidth="1"/>
    <col min="13323" max="13323" width="6.5703125" style="38" customWidth="1"/>
    <col min="13324" max="13324" width="6.28515625" style="38" customWidth="1"/>
    <col min="13325" max="13325" width="5.42578125" style="38" customWidth="1"/>
    <col min="13326" max="13326" width="6" style="38" customWidth="1"/>
    <col min="13327" max="13568" width="9.140625" style="38"/>
    <col min="13569" max="13569" width="2.28515625" style="38" customWidth="1"/>
    <col min="13570" max="13570" width="39.85546875" style="38" customWidth="1"/>
    <col min="13571" max="13571" width="6.28515625" style="38" customWidth="1"/>
    <col min="13572" max="13572" width="6.5703125" style="38" customWidth="1"/>
    <col min="13573" max="13573" width="6.140625" style="38" customWidth="1"/>
    <col min="13574" max="13574" width="5.140625" style="38" customWidth="1"/>
    <col min="13575" max="13575" width="6.42578125" style="38" customWidth="1"/>
    <col min="13576" max="13576" width="6.85546875" style="38" customWidth="1"/>
    <col min="13577" max="13577" width="5.5703125" style="38" customWidth="1"/>
    <col min="13578" max="13578" width="5.140625" style="38" customWidth="1"/>
    <col min="13579" max="13579" width="6.5703125" style="38" customWidth="1"/>
    <col min="13580" max="13580" width="6.28515625" style="38" customWidth="1"/>
    <col min="13581" max="13581" width="5.42578125" style="38" customWidth="1"/>
    <col min="13582" max="13582" width="6" style="38" customWidth="1"/>
    <col min="13583" max="13824" width="9.140625" style="38"/>
    <col min="13825" max="13825" width="2.28515625" style="38" customWidth="1"/>
    <col min="13826" max="13826" width="39.85546875" style="38" customWidth="1"/>
    <col min="13827" max="13827" width="6.28515625" style="38" customWidth="1"/>
    <col min="13828" max="13828" width="6.5703125" style="38" customWidth="1"/>
    <col min="13829" max="13829" width="6.140625" style="38" customWidth="1"/>
    <col min="13830" max="13830" width="5.140625" style="38" customWidth="1"/>
    <col min="13831" max="13831" width="6.42578125" style="38" customWidth="1"/>
    <col min="13832" max="13832" width="6.85546875" style="38" customWidth="1"/>
    <col min="13833" max="13833" width="5.5703125" style="38" customWidth="1"/>
    <col min="13834" max="13834" width="5.140625" style="38" customWidth="1"/>
    <col min="13835" max="13835" width="6.5703125" style="38" customWidth="1"/>
    <col min="13836" max="13836" width="6.28515625" style="38" customWidth="1"/>
    <col min="13837" max="13837" width="5.42578125" style="38" customWidth="1"/>
    <col min="13838" max="13838" width="6" style="38" customWidth="1"/>
    <col min="13839" max="14080" width="9.140625" style="38"/>
    <col min="14081" max="14081" width="2.28515625" style="38" customWidth="1"/>
    <col min="14082" max="14082" width="39.85546875" style="38" customWidth="1"/>
    <col min="14083" max="14083" width="6.28515625" style="38" customWidth="1"/>
    <col min="14084" max="14084" width="6.5703125" style="38" customWidth="1"/>
    <col min="14085" max="14085" width="6.140625" style="38" customWidth="1"/>
    <col min="14086" max="14086" width="5.140625" style="38" customWidth="1"/>
    <col min="14087" max="14087" width="6.42578125" style="38" customWidth="1"/>
    <col min="14088" max="14088" width="6.85546875" style="38" customWidth="1"/>
    <col min="14089" max="14089" width="5.5703125" style="38" customWidth="1"/>
    <col min="14090" max="14090" width="5.140625" style="38" customWidth="1"/>
    <col min="14091" max="14091" width="6.5703125" style="38" customWidth="1"/>
    <col min="14092" max="14092" width="6.28515625" style="38" customWidth="1"/>
    <col min="14093" max="14093" width="5.42578125" style="38" customWidth="1"/>
    <col min="14094" max="14094" width="6" style="38" customWidth="1"/>
    <col min="14095" max="14336" width="9.140625" style="38"/>
    <col min="14337" max="14337" width="2.28515625" style="38" customWidth="1"/>
    <col min="14338" max="14338" width="39.85546875" style="38" customWidth="1"/>
    <col min="14339" max="14339" width="6.28515625" style="38" customWidth="1"/>
    <col min="14340" max="14340" width="6.5703125" style="38" customWidth="1"/>
    <col min="14341" max="14341" width="6.140625" style="38" customWidth="1"/>
    <col min="14342" max="14342" width="5.140625" style="38" customWidth="1"/>
    <col min="14343" max="14343" width="6.42578125" style="38" customWidth="1"/>
    <col min="14344" max="14344" width="6.85546875" style="38" customWidth="1"/>
    <col min="14345" max="14345" width="5.5703125" style="38" customWidth="1"/>
    <col min="14346" max="14346" width="5.140625" style="38" customWidth="1"/>
    <col min="14347" max="14347" width="6.5703125" style="38" customWidth="1"/>
    <col min="14348" max="14348" width="6.28515625" style="38" customWidth="1"/>
    <col min="14349" max="14349" width="5.42578125" style="38" customWidth="1"/>
    <col min="14350" max="14350" width="6" style="38" customWidth="1"/>
    <col min="14351" max="14592" width="9.140625" style="38"/>
    <col min="14593" max="14593" width="2.28515625" style="38" customWidth="1"/>
    <col min="14594" max="14594" width="39.85546875" style="38" customWidth="1"/>
    <col min="14595" max="14595" width="6.28515625" style="38" customWidth="1"/>
    <col min="14596" max="14596" width="6.5703125" style="38" customWidth="1"/>
    <col min="14597" max="14597" width="6.140625" style="38" customWidth="1"/>
    <col min="14598" max="14598" width="5.140625" style="38" customWidth="1"/>
    <col min="14599" max="14599" width="6.42578125" style="38" customWidth="1"/>
    <col min="14600" max="14600" width="6.85546875" style="38" customWidth="1"/>
    <col min="14601" max="14601" width="5.5703125" style="38" customWidth="1"/>
    <col min="14602" max="14602" width="5.140625" style="38" customWidth="1"/>
    <col min="14603" max="14603" width="6.5703125" style="38" customWidth="1"/>
    <col min="14604" max="14604" width="6.28515625" style="38" customWidth="1"/>
    <col min="14605" max="14605" width="5.42578125" style="38" customWidth="1"/>
    <col min="14606" max="14606" width="6" style="38" customWidth="1"/>
    <col min="14607" max="14848" width="9.140625" style="38"/>
    <col min="14849" max="14849" width="2.28515625" style="38" customWidth="1"/>
    <col min="14850" max="14850" width="39.85546875" style="38" customWidth="1"/>
    <col min="14851" max="14851" width="6.28515625" style="38" customWidth="1"/>
    <col min="14852" max="14852" width="6.5703125" style="38" customWidth="1"/>
    <col min="14853" max="14853" width="6.140625" style="38" customWidth="1"/>
    <col min="14854" max="14854" width="5.140625" style="38" customWidth="1"/>
    <col min="14855" max="14855" width="6.42578125" style="38" customWidth="1"/>
    <col min="14856" max="14856" width="6.85546875" style="38" customWidth="1"/>
    <col min="14857" max="14857" width="5.5703125" style="38" customWidth="1"/>
    <col min="14858" max="14858" width="5.140625" style="38" customWidth="1"/>
    <col min="14859" max="14859" width="6.5703125" style="38" customWidth="1"/>
    <col min="14860" max="14860" width="6.28515625" style="38" customWidth="1"/>
    <col min="14861" max="14861" width="5.42578125" style="38" customWidth="1"/>
    <col min="14862" max="14862" width="6" style="38" customWidth="1"/>
    <col min="14863" max="15104" width="9.140625" style="38"/>
    <col min="15105" max="15105" width="2.28515625" style="38" customWidth="1"/>
    <col min="15106" max="15106" width="39.85546875" style="38" customWidth="1"/>
    <col min="15107" max="15107" width="6.28515625" style="38" customWidth="1"/>
    <col min="15108" max="15108" width="6.5703125" style="38" customWidth="1"/>
    <col min="15109" max="15109" width="6.140625" style="38" customWidth="1"/>
    <col min="15110" max="15110" width="5.140625" style="38" customWidth="1"/>
    <col min="15111" max="15111" width="6.42578125" style="38" customWidth="1"/>
    <col min="15112" max="15112" width="6.85546875" style="38" customWidth="1"/>
    <col min="15113" max="15113" width="5.5703125" style="38" customWidth="1"/>
    <col min="15114" max="15114" width="5.140625" style="38" customWidth="1"/>
    <col min="15115" max="15115" width="6.5703125" style="38" customWidth="1"/>
    <col min="15116" max="15116" width="6.28515625" style="38" customWidth="1"/>
    <col min="15117" max="15117" width="5.42578125" style="38" customWidth="1"/>
    <col min="15118" max="15118" width="6" style="38" customWidth="1"/>
    <col min="15119" max="15360" width="9.140625" style="38"/>
    <col min="15361" max="15361" width="2.28515625" style="38" customWidth="1"/>
    <col min="15362" max="15362" width="39.85546875" style="38" customWidth="1"/>
    <col min="15363" max="15363" width="6.28515625" style="38" customWidth="1"/>
    <col min="15364" max="15364" width="6.5703125" style="38" customWidth="1"/>
    <col min="15365" max="15365" width="6.140625" style="38" customWidth="1"/>
    <col min="15366" max="15366" width="5.140625" style="38" customWidth="1"/>
    <col min="15367" max="15367" width="6.42578125" style="38" customWidth="1"/>
    <col min="15368" max="15368" width="6.85546875" style="38" customWidth="1"/>
    <col min="15369" max="15369" width="5.5703125" style="38" customWidth="1"/>
    <col min="15370" max="15370" width="5.140625" style="38" customWidth="1"/>
    <col min="15371" max="15371" width="6.5703125" style="38" customWidth="1"/>
    <col min="15372" max="15372" width="6.28515625" style="38" customWidth="1"/>
    <col min="15373" max="15373" width="5.42578125" style="38" customWidth="1"/>
    <col min="15374" max="15374" width="6" style="38" customWidth="1"/>
    <col min="15375" max="15616" width="9.140625" style="38"/>
    <col min="15617" max="15617" width="2.28515625" style="38" customWidth="1"/>
    <col min="15618" max="15618" width="39.85546875" style="38" customWidth="1"/>
    <col min="15619" max="15619" width="6.28515625" style="38" customWidth="1"/>
    <col min="15620" max="15620" width="6.5703125" style="38" customWidth="1"/>
    <col min="15621" max="15621" width="6.140625" style="38" customWidth="1"/>
    <col min="15622" max="15622" width="5.140625" style="38" customWidth="1"/>
    <col min="15623" max="15623" width="6.42578125" style="38" customWidth="1"/>
    <col min="15624" max="15624" width="6.85546875" style="38" customWidth="1"/>
    <col min="15625" max="15625" width="5.5703125" style="38" customWidth="1"/>
    <col min="15626" max="15626" width="5.140625" style="38" customWidth="1"/>
    <col min="15627" max="15627" width="6.5703125" style="38" customWidth="1"/>
    <col min="15628" max="15628" width="6.28515625" style="38" customWidth="1"/>
    <col min="15629" max="15629" width="5.42578125" style="38" customWidth="1"/>
    <col min="15630" max="15630" width="6" style="38" customWidth="1"/>
    <col min="15631" max="15872" width="9.140625" style="38"/>
    <col min="15873" max="15873" width="2.28515625" style="38" customWidth="1"/>
    <col min="15874" max="15874" width="39.85546875" style="38" customWidth="1"/>
    <col min="15875" max="15875" width="6.28515625" style="38" customWidth="1"/>
    <col min="15876" max="15876" width="6.5703125" style="38" customWidth="1"/>
    <col min="15877" max="15877" width="6.140625" style="38" customWidth="1"/>
    <col min="15878" max="15878" width="5.140625" style="38" customWidth="1"/>
    <col min="15879" max="15879" width="6.42578125" style="38" customWidth="1"/>
    <col min="15880" max="15880" width="6.85546875" style="38" customWidth="1"/>
    <col min="15881" max="15881" width="5.5703125" style="38" customWidth="1"/>
    <col min="15882" max="15882" width="5.140625" style="38" customWidth="1"/>
    <col min="15883" max="15883" width="6.5703125" style="38" customWidth="1"/>
    <col min="15884" max="15884" width="6.28515625" style="38" customWidth="1"/>
    <col min="15885" max="15885" width="5.42578125" style="38" customWidth="1"/>
    <col min="15886" max="15886" width="6" style="38" customWidth="1"/>
    <col min="15887" max="16128" width="9.140625" style="38"/>
    <col min="16129" max="16129" width="2.28515625" style="38" customWidth="1"/>
    <col min="16130" max="16130" width="39.85546875" style="38" customWidth="1"/>
    <col min="16131" max="16131" width="6.28515625" style="38" customWidth="1"/>
    <col min="16132" max="16132" width="6.5703125" style="38" customWidth="1"/>
    <col min="16133" max="16133" width="6.140625" style="38" customWidth="1"/>
    <col min="16134" max="16134" width="5.140625" style="38" customWidth="1"/>
    <col min="16135" max="16135" width="6.42578125" style="38" customWidth="1"/>
    <col min="16136" max="16136" width="6.85546875" style="38" customWidth="1"/>
    <col min="16137" max="16137" width="5.5703125" style="38" customWidth="1"/>
    <col min="16138" max="16138" width="5.140625" style="38" customWidth="1"/>
    <col min="16139" max="16139" width="6.5703125" style="38" customWidth="1"/>
    <col min="16140" max="16140" width="6.28515625" style="38" customWidth="1"/>
    <col min="16141" max="16141" width="5.42578125" style="38" customWidth="1"/>
    <col min="16142" max="16142" width="6" style="38" customWidth="1"/>
    <col min="16143" max="16384" width="9.140625" style="38"/>
  </cols>
  <sheetData>
    <row r="1" spans="1:198" ht="15" customHeight="1">
      <c r="A1" s="338" t="s">
        <v>172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P1" s="68" t="s">
        <v>264</v>
      </c>
      <c r="Q1" s="1"/>
      <c r="R1" s="1"/>
      <c r="S1" s="21"/>
    </row>
    <row r="2" spans="1:198" ht="15">
      <c r="A2" s="339" t="s">
        <v>177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P2" s="14" t="s">
        <v>116</v>
      </c>
      <c r="Q2" s="14">
        <f>VLOOKUP(P2,Справочник!B1:C63,2,FALSE)</f>
        <v>400</v>
      </c>
      <c r="R2" s="67" t="s">
        <v>18</v>
      </c>
      <c r="S2" s="21" t="str">
        <f>VLOOKUP(R2,Справочник!E1:F12,2,FALSE)</f>
        <v>01</v>
      </c>
      <c r="T2" s="38" t="str">
        <f>VLOOKUP(R2,Справочник!E1:G12,3,FALSE)</f>
        <v>d</v>
      </c>
    </row>
    <row r="3" spans="1:198">
      <c r="A3" s="62"/>
      <c r="B3" s="337" t="str">
        <f>CONCATENATE(P2,":")</f>
        <v>Красноярский край:</v>
      </c>
      <c r="C3" s="337"/>
      <c r="D3" s="337"/>
      <c r="E3" s="64" t="str">
        <f>CONCATENATE(" ",R2," ",Справочник!J2,"/",Справочник!J1)</f>
        <v xml:space="preserve"> январь 2018/2019</v>
      </c>
      <c r="F3" s="63"/>
      <c r="G3" s="63"/>
      <c r="H3" s="63"/>
      <c r="I3" s="63"/>
      <c r="J3" s="63"/>
      <c r="K3" s="63"/>
      <c r="L3" s="63"/>
      <c r="M3" s="63"/>
      <c r="N3" s="63"/>
    </row>
    <row r="4" spans="1:198" s="41" customFormat="1" ht="12.75" customHeight="1">
      <c r="A4" s="335" t="s">
        <v>173</v>
      </c>
      <c r="B4" s="39"/>
      <c r="C4" s="340" t="s">
        <v>174</v>
      </c>
      <c r="D4" s="341"/>
      <c r="E4" s="342" t="s">
        <v>175</v>
      </c>
      <c r="F4" s="343" t="s">
        <v>176</v>
      </c>
      <c r="G4" s="344" t="s">
        <v>22</v>
      </c>
      <c r="H4" s="344"/>
      <c r="I4" s="342" t="s">
        <v>175</v>
      </c>
      <c r="J4" s="343" t="s">
        <v>176</v>
      </c>
      <c r="K4" s="345" t="str">
        <f>P2</f>
        <v>Красноярский край</v>
      </c>
      <c r="L4" s="346"/>
      <c r="M4" s="347" t="s">
        <v>175</v>
      </c>
      <c r="N4" s="349" t="s">
        <v>176</v>
      </c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</row>
    <row r="5" spans="1:198" s="41" customFormat="1">
      <c r="A5" s="336"/>
      <c r="B5" s="42"/>
      <c r="C5" s="43">
        <f>Справочник!J2</f>
        <v>2018</v>
      </c>
      <c r="D5" s="248">
        <f>Справочник!J1</f>
        <v>2019</v>
      </c>
      <c r="E5" s="342"/>
      <c r="F5" s="343"/>
      <c r="G5" s="43">
        <f>Справочник!J2</f>
        <v>2018</v>
      </c>
      <c r="H5" s="248">
        <f>Справочник!J1</f>
        <v>2019</v>
      </c>
      <c r="I5" s="342"/>
      <c r="J5" s="343"/>
      <c r="K5" s="43">
        <f>Справочник!J2</f>
        <v>2018</v>
      </c>
      <c r="L5" s="248">
        <f>Справочник!J1</f>
        <v>2019</v>
      </c>
      <c r="M5" s="348"/>
      <c r="N5" s="35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</row>
    <row r="6" spans="1:198" s="40" customFormat="1" ht="19.5" customHeight="1">
      <c r="A6" s="336"/>
      <c r="B6" s="44" t="s">
        <v>118</v>
      </c>
      <c r="C6" s="55">
        <f ca="1">INDIRECT("'400'!"&amp;T2&amp;"4")</f>
        <v>3524</v>
      </c>
      <c r="D6" s="249">
        <f ca="1">INDIRECT("'400'!"&amp;T2&amp;"5")</f>
        <v>3565</v>
      </c>
      <c r="E6" s="52">
        <f t="shared" ref="E6:E41" ca="1" si="0">D6-C6</f>
        <v>41</v>
      </c>
      <c r="F6" s="69">
        <f ca="1">IFERROR(D6/C6*100-100,IF(D6&gt;0,100,0))</f>
        <v>1.1634506242905758</v>
      </c>
      <c r="G6" s="55">
        <f ca="1">INDIRECT("'300'!"&amp;T2&amp;"4")</f>
        <v>1541</v>
      </c>
      <c r="H6" s="249">
        <f ca="1">INDIRECT("'300'!"&amp;T2&amp;"5")</f>
        <v>1600</v>
      </c>
      <c r="I6" s="52">
        <f ca="1">H6-G6</f>
        <v>59</v>
      </c>
      <c r="J6" s="69">
        <f ca="1">IFERROR(H6/G6*100-100,IF(H6&gt;0,100,0))</f>
        <v>3.8286826735885739</v>
      </c>
      <c r="K6" s="55">
        <f ca="1">INDIRECT("'"&amp;Q2&amp;"'!"&amp;T2&amp;"4")</f>
        <v>3524</v>
      </c>
      <c r="L6" s="249">
        <f ca="1">INDIRECT("'"&amp;Q2&amp;"'!"&amp;T2&amp;"5")</f>
        <v>3565</v>
      </c>
      <c r="M6" s="52">
        <f ca="1">L6-K6</f>
        <v>41</v>
      </c>
      <c r="N6" s="69">
        <f ca="1">IFERROR(L6/K6*100-100,IF(L6&gt;0,100,0))</f>
        <v>1.1634506242905758</v>
      </c>
    </row>
    <row r="7" spans="1:198" s="40" customFormat="1" ht="19.5" customHeight="1">
      <c r="A7" s="336"/>
      <c r="B7" s="45" t="s">
        <v>120</v>
      </c>
      <c r="C7" s="46">
        <f ca="1">INDIRECT("'400'!"&amp;T2&amp;"6")</f>
        <v>706</v>
      </c>
      <c r="D7" s="249">
        <f ca="1">INDIRECT("'400'!"&amp;T2&amp;"7")</f>
        <v>685</v>
      </c>
      <c r="E7" s="47">
        <f t="shared" ca="1" si="0"/>
        <v>-21</v>
      </c>
      <c r="F7" s="48">
        <f ca="1">IFERROR(D7/C7*100-100,IF(D7&gt;0,100,0))</f>
        <v>-2.9745042492917833</v>
      </c>
      <c r="G7" s="46">
        <f ca="1">INDIRECT("'300'!"&amp;T2&amp;"6")</f>
        <v>331</v>
      </c>
      <c r="H7" s="249">
        <f ca="1">INDIRECT("'300'!"&amp;T2&amp;"7")</f>
        <v>322</v>
      </c>
      <c r="I7" s="47">
        <f t="shared" ref="I7:I41" ca="1" si="1">H7-G7</f>
        <v>-9</v>
      </c>
      <c r="J7" s="48">
        <f ca="1">IFERROR(H7/G7*100-100,IF(H7&gt;0,100,0))</f>
        <v>-2.719033232628405</v>
      </c>
      <c r="K7" s="46">
        <f ca="1">INDIRECT("'"&amp;Q2&amp;"'!"&amp;T2&amp;"6")</f>
        <v>706</v>
      </c>
      <c r="L7" s="249">
        <f ca="1">INDIRECT("'"&amp;Q2&amp;"'!"&amp;T2&amp;"7")</f>
        <v>685</v>
      </c>
      <c r="M7" s="47">
        <f t="shared" ref="M7:M41" ca="1" si="2">L7-K7</f>
        <v>-21</v>
      </c>
      <c r="N7" s="48">
        <f ca="1">IFERROR(L7/K7*100-100,IF(L7&gt;0,100,0))</f>
        <v>-2.9745042492917833</v>
      </c>
    </row>
    <row r="8" spans="1:198" s="40" customFormat="1" ht="19.5" customHeight="1">
      <c r="A8" s="336"/>
      <c r="B8" s="49" t="s">
        <v>121</v>
      </c>
      <c r="C8" s="50">
        <f ca="1">C7/C6*100</f>
        <v>20.034052213393871</v>
      </c>
      <c r="D8" s="250">
        <f ca="1">D7/D6*100</f>
        <v>19.214586255259466</v>
      </c>
      <c r="E8" s="51">
        <f t="shared" ca="1" si="0"/>
        <v>-0.81946595813440481</v>
      </c>
      <c r="F8" s="51" t="s">
        <v>123</v>
      </c>
      <c r="G8" s="50">
        <f ca="1">G7/G6*100</f>
        <v>21.479558728098638</v>
      </c>
      <c r="H8" s="250">
        <f ca="1">H7/H6*100</f>
        <v>20.125</v>
      </c>
      <c r="I8" s="51">
        <f t="shared" ca="1" si="1"/>
        <v>-1.3545587280986382</v>
      </c>
      <c r="J8" s="51" t="s">
        <v>123</v>
      </c>
      <c r="K8" s="50">
        <f ca="1">K7/K6*100</f>
        <v>20.034052213393871</v>
      </c>
      <c r="L8" s="250">
        <f ca="1">L7/L6*100</f>
        <v>19.214586255259466</v>
      </c>
      <c r="M8" s="51">
        <f t="shared" ca="1" si="2"/>
        <v>-0.81946595813440481</v>
      </c>
      <c r="N8" s="51" t="s">
        <v>123</v>
      </c>
    </row>
    <row r="9" spans="1:198" s="40" customFormat="1" ht="19.5" customHeight="1">
      <c r="A9" s="336"/>
      <c r="B9" s="53" t="s">
        <v>124</v>
      </c>
      <c r="C9" s="46">
        <f ca="1">INDIRECT("'400'!"&amp;T2&amp;"8")</f>
        <v>22</v>
      </c>
      <c r="D9" s="249">
        <f ca="1">INDIRECT("'400'!"&amp;T2&amp;"9")</f>
        <v>27</v>
      </c>
      <c r="E9" s="47">
        <f t="shared" ca="1" si="0"/>
        <v>5</v>
      </c>
      <c r="F9" s="48">
        <f ca="1">IFERROR(D9/C9*100-100,IF(D9&gt;0,100,0))</f>
        <v>22.727272727272734</v>
      </c>
      <c r="G9" s="46">
        <f ca="1">INDIRECT("'300'!"&amp;T2&amp;"8")</f>
        <v>5</v>
      </c>
      <c r="H9" s="249">
        <f ca="1">INDIRECT("'300'!"&amp;T2&amp;"9")</f>
        <v>8</v>
      </c>
      <c r="I9" s="47">
        <f t="shared" ca="1" si="1"/>
        <v>3</v>
      </c>
      <c r="J9" s="48">
        <f ca="1">IFERROR(H9/G9*100-100,IF(H9&gt;0,100,0))</f>
        <v>60</v>
      </c>
      <c r="K9" s="46">
        <f ca="1">INDIRECT("'"&amp;Q2&amp;"'!"&amp;T2&amp;"8")</f>
        <v>22</v>
      </c>
      <c r="L9" s="249">
        <f ca="1">INDIRECT("'"&amp;Q2&amp;"'!"&amp;T2&amp;"9")</f>
        <v>27</v>
      </c>
      <c r="M9" s="47">
        <f t="shared" ca="1" si="2"/>
        <v>5</v>
      </c>
      <c r="N9" s="48">
        <f ca="1">IFERROR(L9/K9*100-100,IF(L9&gt;0,100,0))</f>
        <v>22.727272727272734</v>
      </c>
    </row>
    <row r="10" spans="1:198" s="40" customFormat="1" ht="23.25" customHeight="1">
      <c r="A10" s="336"/>
      <c r="B10" s="54" t="s">
        <v>126</v>
      </c>
      <c r="C10" s="55">
        <f ca="1">INDIRECT("'400'!"&amp;T2&amp;"10")</f>
        <v>74</v>
      </c>
      <c r="D10" s="249">
        <f ca="1">INDIRECT("'400'!"&amp;T2&amp;"11")</f>
        <v>66</v>
      </c>
      <c r="E10" s="52">
        <f t="shared" ca="1" si="0"/>
        <v>-8</v>
      </c>
      <c r="F10" s="69">
        <f ca="1">IFERROR(D10/C10*100-100,IF(D10&gt;0,100,0))</f>
        <v>-10.810810810810807</v>
      </c>
      <c r="G10" s="55">
        <f ca="1">INDIRECT("'300'!"&amp;T2&amp;"10")</f>
        <v>24</v>
      </c>
      <c r="H10" s="249">
        <f ca="1">INDIRECT("'300'!"&amp;T2&amp;"11")</f>
        <v>23</v>
      </c>
      <c r="I10" s="52">
        <f t="shared" ca="1" si="1"/>
        <v>-1</v>
      </c>
      <c r="J10" s="69">
        <f ca="1">IFERROR(H10/G10*100-100,IF(H10&gt;0,100,0))</f>
        <v>-4.1666666666666572</v>
      </c>
      <c r="K10" s="55">
        <f ca="1">INDIRECT("'"&amp;Q2&amp;"'!"&amp;T2&amp;"10")</f>
        <v>74</v>
      </c>
      <c r="L10" s="249">
        <f ca="1">INDIRECT("'"&amp;Q2&amp;"'!"&amp;T2&amp;"11")</f>
        <v>66</v>
      </c>
      <c r="M10" s="52">
        <f t="shared" ca="1" si="2"/>
        <v>-8</v>
      </c>
      <c r="N10" s="69">
        <f ca="1">IFERROR(L10/K10*100-100,IF(L10&gt;0,100,0))</f>
        <v>-10.810810810810807</v>
      </c>
    </row>
    <row r="11" spans="1:198" s="40" customFormat="1" ht="21" customHeight="1">
      <c r="A11" s="336"/>
      <c r="B11" s="53" t="s">
        <v>128</v>
      </c>
      <c r="C11" s="46">
        <f ca="1">INDIRECT("'400'!"&amp;T2&amp;"12")</f>
        <v>12</v>
      </c>
      <c r="D11" s="249">
        <f ca="1">INDIRECT("'400'!"&amp;T2&amp;"13")</f>
        <v>11</v>
      </c>
      <c r="E11" s="47">
        <f t="shared" ca="1" si="0"/>
        <v>-1</v>
      </c>
      <c r="F11" s="48">
        <f t="shared" ref="F11:F22" ca="1" si="3">IFERROR(D11/C11*100-100,IF(D11&gt;0,100,0))</f>
        <v>-8.3333333333333428</v>
      </c>
      <c r="G11" s="46">
        <f ca="1">INDIRECT("'300'!"&amp;T2&amp;"12")</f>
        <v>1</v>
      </c>
      <c r="H11" s="249">
        <f ca="1">INDIRECT("'300'!"&amp;T2&amp;"13")</f>
        <v>2</v>
      </c>
      <c r="I11" s="47">
        <f t="shared" ca="1" si="1"/>
        <v>1</v>
      </c>
      <c r="J11" s="48">
        <f t="shared" ref="J11:J22" ca="1" si="4">IFERROR(H11/G11*100-100,IF(H11&gt;0,100,0))</f>
        <v>100</v>
      </c>
      <c r="K11" s="46">
        <f ca="1">INDIRECT("'"&amp;Q2&amp;"'!"&amp;T2&amp;"12")</f>
        <v>12</v>
      </c>
      <c r="L11" s="249">
        <f ca="1">INDIRECT("'"&amp;Q2&amp;"'!"&amp;T2&amp;"13")</f>
        <v>11</v>
      </c>
      <c r="M11" s="47">
        <f t="shared" ca="1" si="2"/>
        <v>-1</v>
      </c>
      <c r="N11" s="48">
        <f t="shared" ref="N11:N22" ca="1" si="5">IFERROR(L11/K11*100-100,IF(L11&gt;0,100,0))</f>
        <v>-8.3333333333333428</v>
      </c>
    </row>
    <row r="12" spans="1:198" s="40" customFormat="1" ht="19.5" customHeight="1">
      <c r="A12" s="336"/>
      <c r="B12" s="49" t="s">
        <v>129</v>
      </c>
      <c r="C12" s="55">
        <f ca="1">INDIRECT("'400'!"&amp;T2&amp;"14")</f>
        <v>5</v>
      </c>
      <c r="D12" s="249">
        <f ca="1">INDIRECT("'400'!"&amp;T2&amp;"15")</f>
        <v>2</v>
      </c>
      <c r="E12" s="52">
        <f t="shared" ca="1" si="0"/>
        <v>-3</v>
      </c>
      <c r="F12" s="69">
        <f ca="1">IFERROR(D12/C12*100-100,IF(D12&gt;0,100,0))</f>
        <v>-60</v>
      </c>
      <c r="G12" s="55">
        <f ca="1">INDIRECT("'300'!"&amp;T2&amp;"14")</f>
        <v>2</v>
      </c>
      <c r="H12" s="249">
        <f ca="1">INDIRECT("'300'!"&amp;T2&amp;"15")</f>
        <v>1</v>
      </c>
      <c r="I12" s="52">
        <f t="shared" ca="1" si="1"/>
        <v>-1</v>
      </c>
      <c r="J12" s="69">
        <f ca="1">IFERROR(H12/G12*100-100,IF(H12&gt;0,100,0))</f>
        <v>-50</v>
      </c>
      <c r="K12" s="55">
        <f ca="1">INDIRECT("'"&amp;Q2&amp;"'!"&amp;T2&amp;"14")</f>
        <v>5</v>
      </c>
      <c r="L12" s="249">
        <f ca="1">INDIRECT("'"&amp;Q2&amp;"'!"&amp;T2&amp;"15")</f>
        <v>2</v>
      </c>
      <c r="M12" s="52">
        <f t="shared" ca="1" si="2"/>
        <v>-3</v>
      </c>
      <c r="N12" s="69">
        <f ca="1">IFERROR(L12/K12*100-100,IF(L12&gt;0,100,0))</f>
        <v>-60</v>
      </c>
    </row>
    <row r="13" spans="1:198" s="40" customFormat="1" ht="19.5" customHeight="1">
      <c r="A13" s="336"/>
      <c r="B13" s="45" t="s">
        <v>130</v>
      </c>
      <c r="C13" s="46">
        <f ca="1">INDIRECT("'400'!"&amp;T2&amp;"16")</f>
        <v>1368</v>
      </c>
      <c r="D13" s="249">
        <f ca="1">INDIRECT("'400'!"&amp;T2&amp;"17")</f>
        <v>1421</v>
      </c>
      <c r="E13" s="47">
        <f t="shared" ca="1" si="0"/>
        <v>53</v>
      </c>
      <c r="F13" s="48">
        <f t="shared" ca="1" si="3"/>
        <v>3.8742690058479496</v>
      </c>
      <c r="G13" s="46">
        <f ca="1">INDIRECT("'300'!"&amp;T2&amp;"16")</f>
        <v>666</v>
      </c>
      <c r="H13" s="249">
        <f ca="1">INDIRECT("'300'!"&amp;T2&amp;"17")</f>
        <v>771</v>
      </c>
      <c r="I13" s="47">
        <f t="shared" ca="1" si="1"/>
        <v>105</v>
      </c>
      <c r="J13" s="48">
        <f t="shared" ca="1" si="4"/>
        <v>15.765765765765764</v>
      </c>
      <c r="K13" s="46">
        <f ca="1">INDIRECT("'"&amp;Q2&amp;"'!"&amp;T2&amp;"16")</f>
        <v>1368</v>
      </c>
      <c r="L13" s="249">
        <f ca="1">INDIRECT("'"&amp;Q2&amp;"'!"&amp;T2&amp;"17")</f>
        <v>1421</v>
      </c>
      <c r="M13" s="47">
        <f t="shared" ca="1" si="2"/>
        <v>53</v>
      </c>
      <c r="N13" s="48">
        <f t="shared" ca="1" si="5"/>
        <v>3.8742690058479496</v>
      </c>
    </row>
    <row r="14" spans="1:198" s="40" customFormat="1" ht="19.5" customHeight="1">
      <c r="A14" s="336"/>
      <c r="B14" s="49" t="s">
        <v>132</v>
      </c>
      <c r="C14" s="55">
        <f ca="1">INDIRECT("'400'!"&amp;T2&amp;"18")</f>
        <v>70</v>
      </c>
      <c r="D14" s="249">
        <f ca="1">INDIRECT("'400'!"&amp;T2&amp;"19")</f>
        <v>55</v>
      </c>
      <c r="E14" s="52">
        <f t="shared" ca="1" si="0"/>
        <v>-15</v>
      </c>
      <c r="F14" s="69">
        <f ca="1">IFERROR(D14/C14*100-100,IF(D14&gt;0,100,0))</f>
        <v>-21.428571428571431</v>
      </c>
      <c r="G14" s="55">
        <f ca="1">INDIRECT("'300'!"&amp;T2&amp;"18")</f>
        <v>10</v>
      </c>
      <c r="H14" s="249">
        <f ca="1">INDIRECT("'300'!"&amp;T2&amp;"19")</f>
        <v>21</v>
      </c>
      <c r="I14" s="52">
        <f t="shared" ca="1" si="1"/>
        <v>11</v>
      </c>
      <c r="J14" s="69">
        <f ca="1">IFERROR(H14/G14*100-100,IF(H14&gt;0,100,0))</f>
        <v>110</v>
      </c>
      <c r="K14" s="55">
        <f ca="1">INDIRECT("'"&amp;Q2&amp;"'!"&amp;T2&amp;"18")</f>
        <v>70</v>
      </c>
      <c r="L14" s="249">
        <f ca="1">INDIRECT("'"&amp;Q2&amp;"'!"&amp;T2&amp;"19")</f>
        <v>55</v>
      </c>
      <c r="M14" s="52">
        <f t="shared" ca="1" si="2"/>
        <v>-15</v>
      </c>
      <c r="N14" s="69">
        <f ca="1">IFERROR(L14/K14*100-100,IF(L14&gt;0,100,0))</f>
        <v>-21.428571428571431</v>
      </c>
    </row>
    <row r="15" spans="1:198" s="40" customFormat="1" ht="19.5" customHeight="1">
      <c r="A15" s="336"/>
      <c r="B15" s="45" t="s">
        <v>133</v>
      </c>
      <c r="C15" s="46">
        <f ca="1">INDIRECT("'400'!"&amp;T2&amp;"20")</f>
        <v>91</v>
      </c>
      <c r="D15" s="249">
        <f ca="1">INDIRECT("'400'!"&amp;T2&amp;"21")</f>
        <v>84</v>
      </c>
      <c r="E15" s="47">
        <f t="shared" ca="1" si="0"/>
        <v>-7</v>
      </c>
      <c r="F15" s="48">
        <f t="shared" ca="1" si="3"/>
        <v>-7.6923076923076934</v>
      </c>
      <c r="G15" s="46">
        <f ca="1">INDIRECT("'300'!"&amp;T2&amp;"20")</f>
        <v>41</v>
      </c>
      <c r="H15" s="249">
        <f ca="1">INDIRECT("'300'!"&amp;T2&amp;"21")</f>
        <v>47</v>
      </c>
      <c r="I15" s="47">
        <f t="shared" ca="1" si="1"/>
        <v>6</v>
      </c>
      <c r="J15" s="48">
        <f t="shared" ca="1" si="4"/>
        <v>14.634146341463406</v>
      </c>
      <c r="K15" s="46">
        <f ca="1">INDIRECT("'"&amp;Q2&amp;"'!"&amp;T2&amp;"20")</f>
        <v>91</v>
      </c>
      <c r="L15" s="249">
        <f ca="1">INDIRECT("'"&amp;Q2&amp;"'!"&amp;T2&amp;"21")</f>
        <v>84</v>
      </c>
      <c r="M15" s="47">
        <f t="shared" ca="1" si="2"/>
        <v>-7</v>
      </c>
      <c r="N15" s="48">
        <f t="shared" ca="1" si="5"/>
        <v>-7.6923076923076934</v>
      </c>
    </row>
    <row r="16" spans="1:198" s="40" customFormat="1" ht="19.5" customHeight="1">
      <c r="A16" s="336"/>
      <c r="B16" s="49" t="s">
        <v>134</v>
      </c>
      <c r="C16" s="55">
        <f ca="1">INDIRECT("'400'!"&amp;T2&amp;"22")</f>
        <v>14</v>
      </c>
      <c r="D16" s="249">
        <f ca="1">INDIRECT("'400'!"&amp;T2&amp;"23")</f>
        <v>16</v>
      </c>
      <c r="E16" s="52">
        <f t="shared" ca="1" si="0"/>
        <v>2</v>
      </c>
      <c r="F16" s="69">
        <f ca="1">IFERROR(D16/C16*100-100,IF(D16&gt;0,100,0))</f>
        <v>14.285714285714278</v>
      </c>
      <c r="G16" s="55">
        <f ca="1">INDIRECT("'300'!"&amp;T2&amp;"22")</f>
        <v>8</v>
      </c>
      <c r="H16" s="249">
        <f ca="1">INDIRECT("'300'!"&amp;T2&amp;"23")</f>
        <v>8</v>
      </c>
      <c r="I16" s="52">
        <f t="shared" ca="1" si="1"/>
        <v>0</v>
      </c>
      <c r="J16" s="69">
        <f ca="1">IFERROR(H16/G16*100-100,IF(H16&gt;0,100,0))</f>
        <v>0</v>
      </c>
      <c r="K16" s="55">
        <f ca="1">INDIRECT("'"&amp;Q2&amp;"'!"&amp;T2&amp;"22")</f>
        <v>14</v>
      </c>
      <c r="L16" s="249">
        <f ca="1">INDIRECT("'"&amp;Q2&amp;"'!"&amp;T2&amp;"23")</f>
        <v>16</v>
      </c>
      <c r="M16" s="52">
        <f t="shared" ca="1" si="2"/>
        <v>2</v>
      </c>
      <c r="N16" s="69">
        <f ca="1">IFERROR(L16/K16*100-100,IF(L16&gt;0,100,0))</f>
        <v>14.285714285714278</v>
      </c>
    </row>
    <row r="17" spans="1:14" s="40" customFormat="1" ht="17.25" customHeight="1">
      <c r="A17" s="336"/>
      <c r="B17" s="45" t="s">
        <v>135</v>
      </c>
      <c r="C17" s="46">
        <f ca="1">INDIRECT("'400'!"&amp;T2&amp;"24")</f>
        <v>3</v>
      </c>
      <c r="D17" s="249">
        <f ca="1">INDIRECT("'400'!"&amp;T2&amp;"25")</f>
        <v>0</v>
      </c>
      <c r="E17" s="47">
        <f t="shared" ca="1" si="0"/>
        <v>-3</v>
      </c>
      <c r="F17" s="48">
        <f t="shared" ca="1" si="3"/>
        <v>-100</v>
      </c>
      <c r="G17" s="46">
        <f ca="1">INDIRECT("'300'!"&amp;T2&amp;"24")</f>
        <v>2</v>
      </c>
      <c r="H17" s="249">
        <f ca="1">INDIRECT("'300'!"&amp;T2&amp;"25")</f>
        <v>0</v>
      </c>
      <c r="I17" s="47">
        <f t="shared" ca="1" si="1"/>
        <v>-2</v>
      </c>
      <c r="J17" s="48">
        <f t="shared" ca="1" si="4"/>
        <v>-100</v>
      </c>
      <c r="K17" s="46">
        <f ca="1">INDIRECT("'"&amp;Q2&amp;"'!"&amp;T2&amp;"24")</f>
        <v>3</v>
      </c>
      <c r="L17" s="249">
        <f ca="1">INDIRECT("'"&amp;Q2&amp;"'!"&amp;T2&amp;"25")</f>
        <v>0</v>
      </c>
      <c r="M17" s="47">
        <f t="shared" ca="1" si="2"/>
        <v>-3</v>
      </c>
      <c r="N17" s="48">
        <f t="shared" ca="1" si="5"/>
        <v>-100</v>
      </c>
    </row>
    <row r="18" spans="1:14" s="40" customFormat="1" ht="19.5" customHeight="1">
      <c r="A18" s="336"/>
      <c r="B18" s="54" t="s">
        <v>136</v>
      </c>
      <c r="C18" s="55">
        <f ca="1">INDIRECT("'400'!"&amp;T2&amp;"26")</f>
        <v>9</v>
      </c>
      <c r="D18" s="249">
        <f ca="1">INDIRECT("'400'!"&amp;T2&amp;"27")</f>
        <v>15</v>
      </c>
      <c r="E18" s="52">
        <f t="shared" ca="1" si="0"/>
        <v>6</v>
      </c>
      <c r="F18" s="69">
        <f ca="1">IFERROR(D18/C18*100-100,IF(D18&gt;0,100,0))</f>
        <v>66.666666666666686</v>
      </c>
      <c r="G18" s="55">
        <f ca="1">INDIRECT("'300'!"&amp;T2&amp;"26")</f>
        <v>0</v>
      </c>
      <c r="H18" s="249">
        <f ca="1">INDIRECT("'300'!"&amp;T2&amp;"27")</f>
        <v>3</v>
      </c>
      <c r="I18" s="52">
        <f t="shared" ca="1" si="1"/>
        <v>3</v>
      </c>
      <c r="J18" s="69">
        <f ca="1">IFERROR(H18/G18*100-100,IF(H18&gt;0,100,0))</f>
        <v>100</v>
      </c>
      <c r="K18" s="55">
        <f ca="1">INDIRECT("'"&amp;Q2&amp;"'!"&amp;T2&amp;"26")</f>
        <v>9</v>
      </c>
      <c r="L18" s="249">
        <f ca="1">INDIRECT("'"&amp;Q2&amp;"'!"&amp;T2&amp;"27")</f>
        <v>15</v>
      </c>
      <c r="M18" s="52">
        <f t="shared" ca="1" si="2"/>
        <v>6</v>
      </c>
      <c r="N18" s="69">
        <f ca="1">IFERROR(L18/K18*100-100,IF(L18&gt;0,100,0))</f>
        <v>66.666666666666686</v>
      </c>
    </row>
    <row r="19" spans="1:14" s="40" customFormat="1" ht="22.5" customHeight="1">
      <c r="A19" s="336"/>
      <c r="B19" s="53" t="s">
        <v>137</v>
      </c>
      <c r="C19" s="46">
        <f ca="1">INDIRECT("'400'!"&amp;T2&amp;"28")</f>
        <v>356</v>
      </c>
      <c r="D19" s="249">
        <f ca="1">INDIRECT("'400'!"&amp;T2&amp;"29")</f>
        <v>300</v>
      </c>
      <c r="E19" s="47">
        <f t="shared" ca="1" si="0"/>
        <v>-56</v>
      </c>
      <c r="F19" s="48">
        <f t="shared" ca="1" si="3"/>
        <v>-15.730337078651687</v>
      </c>
      <c r="G19" s="46">
        <f ca="1">INDIRECT("'300'!"&amp;T2&amp;"28")</f>
        <v>185</v>
      </c>
      <c r="H19" s="249">
        <f ca="1">INDIRECT("'300'!"&amp;T2&amp;"29")</f>
        <v>151</v>
      </c>
      <c r="I19" s="47">
        <f t="shared" ca="1" si="1"/>
        <v>-34</v>
      </c>
      <c r="J19" s="48">
        <f t="shared" ca="1" si="4"/>
        <v>-18.378378378378386</v>
      </c>
      <c r="K19" s="46">
        <f ca="1">INDIRECT("'"&amp;Q2&amp;"'!"&amp;T2&amp;"28")</f>
        <v>356</v>
      </c>
      <c r="L19" s="249">
        <f ca="1">INDIRECT("'"&amp;Q2&amp;"'!"&amp;T2&amp;"29")</f>
        <v>300</v>
      </c>
      <c r="M19" s="47">
        <f t="shared" ca="1" si="2"/>
        <v>-56</v>
      </c>
      <c r="N19" s="48">
        <f t="shared" ca="1" si="5"/>
        <v>-15.730337078651687</v>
      </c>
    </row>
    <row r="20" spans="1:14" s="40" customFormat="1" ht="19.5" customHeight="1">
      <c r="A20" s="336"/>
      <c r="B20" s="49" t="s">
        <v>139</v>
      </c>
      <c r="C20" s="55">
        <f ca="1">INDIRECT("'400'!"&amp;T2&amp;"30")</f>
        <v>19</v>
      </c>
      <c r="D20" s="249">
        <f ca="1">INDIRECT("'400'!"&amp;T2&amp;"31")</f>
        <v>17</v>
      </c>
      <c r="E20" s="52">
        <f t="shared" ca="1" si="0"/>
        <v>-2</v>
      </c>
      <c r="F20" s="69">
        <f ca="1">IFERROR(D20/C20*100-100,IF(D20&gt;0,100,0))</f>
        <v>-10.526315789473685</v>
      </c>
      <c r="G20" s="55">
        <f ca="1">INDIRECT("'300'!"&amp;T2&amp;"30")</f>
        <v>6</v>
      </c>
      <c r="H20" s="249">
        <f ca="1">INDIRECT("'300'!"&amp;T2&amp;"31")</f>
        <v>6</v>
      </c>
      <c r="I20" s="52">
        <f t="shared" ca="1" si="1"/>
        <v>0</v>
      </c>
      <c r="J20" s="69">
        <f ca="1">IFERROR(H20/G20*100-100,IF(H20&gt;0,100,0))</f>
        <v>0</v>
      </c>
      <c r="K20" s="55">
        <f ca="1">INDIRECT("'"&amp;Q2&amp;"'!"&amp;T2&amp;"30")</f>
        <v>19</v>
      </c>
      <c r="L20" s="249">
        <f ca="1">INDIRECT("'"&amp;Q2&amp;"'!"&amp;T2&amp;"31")</f>
        <v>17</v>
      </c>
      <c r="M20" s="52">
        <f t="shared" ca="1" si="2"/>
        <v>-2</v>
      </c>
      <c r="N20" s="69">
        <f ca="1">IFERROR(L20/K20*100-100,IF(L20&gt;0,100,0))</f>
        <v>-10.526315789473685</v>
      </c>
    </row>
    <row r="21" spans="1:14" s="40" customFormat="1" ht="19.5" customHeight="1">
      <c r="A21" s="336"/>
      <c r="B21" s="45" t="s">
        <v>632</v>
      </c>
      <c r="C21" s="46">
        <f ca="1">INDIRECT("'400'!"&amp;T2&amp;"34")</f>
        <v>158</v>
      </c>
      <c r="D21" s="249">
        <f ca="1">INDIRECT("'400'!"&amp;T2&amp;"35")</f>
        <v>129</v>
      </c>
      <c r="E21" s="47">
        <f t="shared" ca="1" si="0"/>
        <v>-29</v>
      </c>
      <c r="F21" s="48">
        <f ca="1">IFERROR(D21/C21*100-100,IF(D21&gt;0,100,0))</f>
        <v>-18.35443037974683</v>
      </c>
      <c r="G21" s="46">
        <f ca="1">INDIRECT("'300'!"&amp;T2&amp;"34")</f>
        <v>80</v>
      </c>
      <c r="H21" s="249">
        <f ca="1">INDIRECT("'300'!"&amp;T2&amp;"35")</f>
        <v>74</v>
      </c>
      <c r="I21" s="47">
        <f t="shared" ca="1" si="1"/>
        <v>-6</v>
      </c>
      <c r="J21" s="48">
        <f ca="1">IFERROR(H21/G21*100-100,IF(H21&gt;0,100,0))</f>
        <v>-7.5</v>
      </c>
      <c r="K21" s="46">
        <f ca="1">INDIRECT("'"&amp;Q2&amp;"'!"&amp;T2&amp;"34")</f>
        <v>158</v>
      </c>
      <c r="L21" s="249">
        <f ca="1">INDIRECT("'"&amp;Q2&amp;"'!"&amp;T2&amp;"35")</f>
        <v>129</v>
      </c>
      <c r="M21" s="47">
        <f t="shared" ca="1" si="2"/>
        <v>-29</v>
      </c>
      <c r="N21" s="48">
        <f ca="1">IFERROR(L21/K21*100-100,IF(L21&gt;0,100,0))</f>
        <v>-18.35443037974683</v>
      </c>
    </row>
    <row r="22" spans="1:14" s="241" customFormat="1" ht="19.5" customHeight="1">
      <c r="A22" s="336"/>
      <c r="B22" s="238" t="s">
        <v>633</v>
      </c>
      <c r="C22" s="239">
        <f ca="1">INDIRECT("'400'!"&amp;T2&amp;"36")</f>
        <v>1886</v>
      </c>
      <c r="D22" s="249">
        <f ca="1">INDIRECT("'400'!"&amp;T2&amp;"37")</f>
        <v>1790</v>
      </c>
      <c r="E22" s="240">
        <f t="shared" ca="1" si="0"/>
        <v>-96</v>
      </c>
      <c r="F22" s="69">
        <f t="shared" ca="1" si="3"/>
        <v>-5.0901378579003165</v>
      </c>
      <c r="G22" s="239">
        <f ca="1">INDIRECT("'300'!"&amp;T2&amp;"36")</f>
        <v>595</v>
      </c>
      <c r="H22" s="249">
        <f ca="1">INDIRECT("'300'!"&amp;T2&amp;"37")</f>
        <v>579</v>
      </c>
      <c r="I22" s="240">
        <f t="shared" ca="1" si="1"/>
        <v>-16</v>
      </c>
      <c r="J22" s="69">
        <f t="shared" ca="1" si="4"/>
        <v>-2.6890756302521055</v>
      </c>
      <c r="K22" s="239">
        <f ca="1">INDIRECT("'"&amp;Q2&amp;"'!"&amp;T2&amp;"36")</f>
        <v>1886</v>
      </c>
      <c r="L22" s="249">
        <f ca="1">INDIRECT("'"&amp;Q2&amp;"'!"&amp;T2&amp;"37")</f>
        <v>1790</v>
      </c>
      <c r="M22" s="240">
        <f t="shared" ca="1" si="2"/>
        <v>-96</v>
      </c>
      <c r="N22" s="69">
        <f t="shared" ca="1" si="5"/>
        <v>-5.0901378579003165</v>
      </c>
    </row>
    <row r="23" spans="1:14" s="40" customFormat="1" ht="19.5" customHeight="1">
      <c r="A23" s="336"/>
      <c r="B23" s="45" t="s">
        <v>634</v>
      </c>
      <c r="C23" s="46">
        <f ca="1">INDIRECT("'400'!"&amp;T2&amp;"38")</f>
        <v>81</v>
      </c>
      <c r="D23" s="249">
        <f ca="1">INDIRECT("'400'!"&amp;T2&amp;"39")</f>
        <v>84</v>
      </c>
      <c r="E23" s="47">
        <f t="shared" ca="1" si="0"/>
        <v>3</v>
      </c>
      <c r="F23" s="48">
        <f ca="1">IFERROR(D23/C23*100-100,IF(D23&gt;0,100,0))</f>
        <v>3.7037037037036953</v>
      </c>
      <c r="G23" s="46">
        <f ca="1">INDIRECT("'300'!"&amp;T2&amp;"38")</f>
        <v>16</v>
      </c>
      <c r="H23" s="249">
        <f ca="1">INDIRECT("'300'!"&amp;T2&amp;"39")</f>
        <v>31</v>
      </c>
      <c r="I23" s="47">
        <f t="shared" ca="1" si="1"/>
        <v>15</v>
      </c>
      <c r="J23" s="48">
        <f ca="1">IFERROR(H23/G23*100-100,IF(H23&gt;0,100,0))</f>
        <v>93.75</v>
      </c>
      <c r="K23" s="46">
        <f ca="1">INDIRECT("'"&amp;Q2&amp;"'!"&amp;T2&amp;"38")</f>
        <v>81</v>
      </c>
      <c r="L23" s="249">
        <f ca="1">INDIRECT("'"&amp;Q2&amp;"'!"&amp;T2&amp;"39")</f>
        <v>84</v>
      </c>
      <c r="M23" s="47">
        <f t="shared" ca="1" si="2"/>
        <v>3</v>
      </c>
      <c r="N23" s="48">
        <f ca="1">IFERROR(L23/K23*100-100,IF(L23&gt;0,100,0))</f>
        <v>3.7037037037036953</v>
      </c>
    </row>
    <row r="24" spans="1:14" s="241" customFormat="1" ht="19.5" customHeight="1">
      <c r="A24" s="336"/>
      <c r="B24" s="238" t="s">
        <v>635</v>
      </c>
      <c r="C24" s="242">
        <f ca="1">ROUND(C23/C22*100,1)</f>
        <v>4.3</v>
      </c>
      <c r="D24" s="250">
        <f ca="1">ROUND(D23/D22*100,1)</f>
        <v>4.7</v>
      </c>
      <c r="E24" s="243">
        <f t="shared" ca="1" si="0"/>
        <v>0.40000000000000036</v>
      </c>
      <c r="F24" s="69" t="s">
        <v>123</v>
      </c>
      <c r="G24" s="242">
        <f ca="1">ROUND(G23/G22*100,1)</f>
        <v>2.7</v>
      </c>
      <c r="H24" s="250">
        <f ca="1">ROUND(H23/H22*100,1)</f>
        <v>5.4</v>
      </c>
      <c r="I24" s="69">
        <f t="shared" ca="1" si="1"/>
        <v>2.7</v>
      </c>
      <c r="J24" s="69" t="s">
        <v>123</v>
      </c>
      <c r="K24" s="242">
        <f ca="1">ROUND(K23/K22*100,1)</f>
        <v>4.3</v>
      </c>
      <c r="L24" s="250">
        <f ca="1">ROUND(L23/L22*100,1)</f>
        <v>4.7</v>
      </c>
      <c r="M24" s="69">
        <f t="shared" ca="1" si="2"/>
        <v>0.40000000000000036</v>
      </c>
      <c r="N24" s="69" t="s">
        <v>123</v>
      </c>
    </row>
    <row r="25" spans="1:14" s="40" customFormat="1" ht="19.5" customHeight="1">
      <c r="A25" s="335" t="s">
        <v>173</v>
      </c>
      <c r="B25" s="45" t="s">
        <v>636</v>
      </c>
      <c r="C25" s="57">
        <f ca="1">INDIRECT("'400'!"&amp;T2&amp;"40")</f>
        <v>781</v>
      </c>
      <c r="D25" s="249">
        <f ca="1">INDIRECT("'400'!"&amp;T2&amp;"41")</f>
        <v>647</v>
      </c>
      <c r="E25" s="47">
        <f t="shared" ca="1" si="0"/>
        <v>-134</v>
      </c>
      <c r="F25" s="48">
        <f ca="1">IFERROR(D25/C25*100-100,IF(D25&gt;0,100,0))</f>
        <v>-17.157490396927017</v>
      </c>
      <c r="G25" s="57">
        <f ca="1">INDIRECT("'300'!"&amp;T2&amp;"40")</f>
        <v>161</v>
      </c>
      <c r="H25" s="249">
        <f ca="1">INDIRECT("'300'!"&amp;T2&amp;"41")</f>
        <v>157</v>
      </c>
      <c r="I25" s="47">
        <f t="shared" ca="1" si="1"/>
        <v>-4</v>
      </c>
      <c r="J25" s="48">
        <f ca="1">IFERROR(H25/G25*100-100,IF(H25&gt;0,100,0))</f>
        <v>-2.4844720496894439</v>
      </c>
      <c r="K25" s="57">
        <f ca="1">INDIRECT("'"&amp;Q2&amp;"'!"&amp;T2&amp;"40")</f>
        <v>781</v>
      </c>
      <c r="L25" s="249">
        <f ca="1">INDIRECT("'"&amp;Q2&amp;"'!"&amp;T2&amp;"41")</f>
        <v>647</v>
      </c>
      <c r="M25" s="47">
        <f t="shared" ca="1" si="2"/>
        <v>-134</v>
      </c>
      <c r="N25" s="48">
        <f ca="1">IFERROR(L25/K25*100-100,IF(L25&gt;0,100,0))</f>
        <v>-17.157490396927017</v>
      </c>
    </row>
    <row r="26" spans="1:14" s="241" customFormat="1" ht="19.5" customHeight="1">
      <c r="A26" s="336"/>
      <c r="B26" s="238" t="s">
        <v>635</v>
      </c>
      <c r="C26" s="242">
        <f ca="1">C25/C22*100</f>
        <v>41.410392364793211</v>
      </c>
      <c r="D26" s="250">
        <f ca="1">D25/D22*100</f>
        <v>36.145251396648042</v>
      </c>
      <c r="E26" s="69">
        <f t="shared" ca="1" si="0"/>
        <v>-5.2651409681451682</v>
      </c>
      <c r="F26" s="69" t="s">
        <v>123</v>
      </c>
      <c r="G26" s="242">
        <f ca="1">G25/G22*100</f>
        <v>27.058823529411764</v>
      </c>
      <c r="H26" s="250">
        <f ca="1">H25/H22*100</f>
        <v>27.115716753022451</v>
      </c>
      <c r="I26" s="69">
        <f t="shared" ca="1" si="1"/>
        <v>5.689322361068605E-2</v>
      </c>
      <c r="J26" s="69" t="s">
        <v>123</v>
      </c>
      <c r="K26" s="242">
        <f ca="1">K25/K22*100</f>
        <v>41.410392364793211</v>
      </c>
      <c r="L26" s="250">
        <f ca="1">L25/L22*100</f>
        <v>36.145251396648042</v>
      </c>
      <c r="M26" s="69">
        <f t="shared" ca="1" si="2"/>
        <v>-5.2651409681451682</v>
      </c>
      <c r="N26" s="69" t="s">
        <v>123</v>
      </c>
    </row>
    <row r="27" spans="1:14" s="40" customFormat="1" ht="19.5" customHeight="1">
      <c r="A27" s="336"/>
      <c r="B27" s="45" t="s">
        <v>637</v>
      </c>
      <c r="C27" s="57">
        <f ca="1">INDIRECT("'400'!"&amp;T2&amp;"42")</f>
        <v>1172</v>
      </c>
      <c r="D27" s="249">
        <f ca="1">INDIRECT("'400'!"&amp;T2&amp;"43")</f>
        <v>1159</v>
      </c>
      <c r="E27" s="47">
        <f t="shared" ca="1" si="0"/>
        <v>-13</v>
      </c>
      <c r="F27" s="48">
        <f ca="1">IFERROR(D27/C27*100-100,IF(D27&gt;0,100,0))</f>
        <v>-1.1092150170648409</v>
      </c>
      <c r="G27" s="57">
        <f ca="1">INDIRECT("'300'!"&amp;T2&amp;"42")</f>
        <v>317</v>
      </c>
      <c r="H27" s="249">
        <f ca="1">INDIRECT("'300'!"&amp;T2&amp;"43")</f>
        <v>363</v>
      </c>
      <c r="I27" s="47">
        <f t="shared" ca="1" si="1"/>
        <v>46</v>
      </c>
      <c r="J27" s="48">
        <f ca="1">IFERROR(H27/G27*100-100,IF(H27&gt;0,100,0))</f>
        <v>14.511041009463725</v>
      </c>
      <c r="K27" s="57">
        <f ca="1">INDIRECT("'"&amp;Q2&amp;"'!"&amp;T2&amp;"42")</f>
        <v>1172</v>
      </c>
      <c r="L27" s="249">
        <f ca="1">INDIRECT("'"&amp;Q2&amp;"'!"&amp;T2&amp;"43")</f>
        <v>1159</v>
      </c>
      <c r="M27" s="47">
        <f t="shared" ca="1" si="2"/>
        <v>-13</v>
      </c>
      <c r="N27" s="48">
        <f ca="1">IFERROR(L27/K27*100-100,IF(L27&gt;0,100,0))</f>
        <v>-1.1092150170648409</v>
      </c>
    </row>
    <row r="28" spans="1:14" s="241" customFormat="1" ht="19.5" customHeight="1">
      <c r="A28" s="336"/>
      <c r="B28" s="238" t="s">
        <v>635</v>
      </c>
      <c r="C28" s="242">
        <f ca="1">ROUND(C27/C22*100,1)</f>
        <v>62.1</v>
      </c>
      <c r="D28" s="250">
        <f ca="1">ROUND(D27/D22*100,1)</f>
        <v>64.7</v>
      </c>
      <c r="E28" s="69">
        <f t="shared" ca="1" si="0"/>
        <v>2.6000000000000014</v>
      </c>
      <c r="F28" s="69" t="s">
        <v>123</v>
      </c>
      <c r="G28" s="242">
        <f ca="1">ROUND(G27/G22*100,1)</f>
        <v>53.3</v>
      </c>
      <c r="H28" s="250">
        <f ca="1">ROUND(H27/H22*100,1)</f>
        <v>62.7</v>
      </c>
      <c r="I28" s="69">
        <f t="shared" ca="1" si="1"/>
        <v>9.4000000000000057</v>
      </c>
      <c r="J28" s="69" t="s">
        <v>123</v>
      </c>
      <c r="K28" s="242">
        <f ca="1">ROUND(K27/K22*100,1)</f>
        <v>62.1</v>
      </c>
      <c r="L28" s="250">
        <f ca="1">ROUND(L27/L22*100,1)</f>
        <v>64.7</v>
      </c>
      <c r="M28" s="69">
        <f t="shared" ca="1" si="2"/>
        <v>2.6000000000000014</v>
      </c>
      <c r="N28" s="69" t="s">
        <v>123</v>
      </c>
    </row>
    <row r="29" spans="1:14" s="40" customFormat="1" ht="19.5" customHeight="1">
      <c r="A29" s="336"/>
      <c r="B29" s="45" t="s">
        <v>638</v>
      </c>
      <c r="C29" s="57">
        <f ca="1">INDIRECT("'400'!"&amp;T2&amp;"44")</f>
        <v>181</v>
      </c>
      <c r="D29" s="249">
        <f ca="1">INDIRECT("'400'!"&amp;T2&amp;"45")</f>
        <v>137</v>
      </c>
      <c r="E29" s="47">
        <f t="shared" ca="1" si="0"/>
        <v>-44</v>
      </c>
      <c r="F29" s="48">
        <f ca="1">IFERROR(D29/C29*100-100,IF(D29&gt;0,100,0))</f>
        <v>-24.309392265193381</v>
      </c>
      <c r="G29" s="57">
        <f ca="1">INDIRECT("'300'!"&amp;T2&amp;"44")</f>
        <v>103</v>
      </c>
      <c r="H29" s="249">
        <f ca="1">INDIRECT("'300'!"&amp;T2&amp;"45")</f>
        <v>43</v>
      </c>
      <c r="I29" s="47">
        <f t="shared" ca="1" si="1"/>
        <v>-60</v>
      </c>
      <c r="J29" s="48">
        <f ca="1">IFERROR(H29/G29*100-100,IF(H29&gt;0,100,0))</f>
        <v>-58.252427184466022</v>
      </c>
      <c r="K29" s="57">
        <f ca="1">INDIRECT("'"&amp;Q2&amp;"'!"&amp;T2&amp;"44")</f>
        <v>181</v>
      </c>
      <c r="L29" s="249">
        <f ca="1">INDIRECT("'"&amp;Q2&amp;"'!"&amp;T2&amp;"45")</f>
        <v>137</v>
      </c>
      <c r="M29" s="47">
        <f t="shared" ca="1" si="2"/>
        <v>-44</v>
      </c>
      <c r="N29" s="48">
        <f ca="1">IFERROR(L29/K29*100-100,IF(L29&gt;0,100,0))</f>
        <v>-24.309392265193381</v>
      </c>
    </row>
    <row r="30" spans="1:14" s="241" customFormat="1" ht="19.5" customHeight="1">
      <c r="A30" s="336"/>
      <c r="B30" s="238" t="s">
        <v>635</v>
      </c>
      <c r="C30" s="242">
        <f ca="1">ROUND(C29/C22*100,1)</f>
        <v>9.6</v>
      </c>
      <c r="D30" s="250">
        <f ca="1">ROUND(D29/D22*100,1)</f>
        <v>7.7</v>
      </c>
      <c r="E30" s="69">
        <f t="shared" ca="1" si="0"/>
        <v>-1.8999999999999995</v>
      </c>
      <c r="F30" s="69" t="s">
        <v>123</v>
      </c>
      <c r="G30" s="242">
        <f ca="1">ROUND(G29/G22*100,1)</f>
        <v>17.3</v>
      </c>
      <c r="H30" s="250">
        <f ca="1">ROUND(H29/H22*100,1)</f>
        <v>7.4</v>
      </c>
      <c r="I30" s="69">
        <f t="shared" ca="1" si="1"/>
        <v>-9.9</v>
      </c>
      <c r="J30" s="69" t="s">
        <v>123</v>
      </c>
      <c r="K30" s="242">
        <f ca="1">ROUND(K29/K22*100,1)</f>
        <v>9.6</v>
      </c>
      <c r="L30" s="250">
        <f ca="1">ROUND(L29/L22*100,1)</f>
        <v>7.7</v>
      </c>
      <c r="M30" s="69">
        <f t="shared" ca="1" si="2"/>
        <v>-1.8999999999999995</v>
      </c>
      <c r="N30" s="69" t="s">
        <v>123</v>
      </c>
    </row>
    <row r="31" spans="1:14" s="40" customFormat="1" ht="19.5" customHeight="1">
      <c r="A31" s="336"/>
      <c r="B31" s="45" t="s">
        <v>639</v>
      </c>
      <c r="C31" s="57">
        <f ca="1">INDIRECT("'400'!"&amp;T2&amp;"46")</f>
        <v>81</v>
      </c>
      <c r="D31" s="249">
        <f ca="1">INDIRECT("'400'!"&amp;T2&amp;"47")</f>
        <v>11</v>
      </c>
      <c r="E31" s="47">
        <f t="shared" ca="1" si="0"/>
        <v>-70</v>
      </c>
      <c r="F31" s="48">
        <f ca="1">IFERROR(D31/C31*100-100,IF(D31&gt;0,100,0))</f>
        <v>-86.419753086419746</v>
      </c>
      <c r="G31" s="57">
        <f ca="1">INDIRECT("'300'!"&amp;T2&amp;"46")</f>
        <v>78</v>
      </c>
      <c r="H31" s="249">
        <f ca="1">INDIRECT("'300'!"&amp;T2&amp;"47")</f>
        <v>6</v>
      </c>
      <c r="I31" s="47">
        <f t="shared" ca="1" si="1"/>
        <v>-72</v>
      </c>
      <c r="J31" s="48">
        <f ca="1">IFERROR(H31/G31*100-100,IF(H31&gt;0,100,0))</f>
        <v>-92.307692307692307</v>
      </c>
      <c r="K31" s="57">
        <f ca="1">INDIRECT("'"&amp;Q2&amp;"'!"&amp;T2&amp;"46")</f>
        <v>81</v>
      </c>
      <c r="L31" s="249">
        <f ca="1">INDIRECT("'"&amp;Q2&amp;"'!"&amp;T2&amp;"47")</f>
        <v>11</v>
      </c>
      <c r="M31" s="47">
        <f t="shared" ca="1" si="2"/>
        <v>-70</v>
      </c>
      <c r="N31" s="48">
        <f ca="1">IFERROR(L31/K31*100-100,IF(L31&gt;0,100,0))</f>
        <v>-86.419753086419746</v>
      </c>
    </row>
    <row r="32" spans="1:14" s="241" customFormat="1" ht="19.5" customHeight="1">
      <c r="A32" s="336"/>
      <c r="B32" s="238" t="s">
        <v>640</v>
      </c>
      <c r="C32" s="242">
        <f ca="1">ROUND(C31/C29*100,1)</f>
        <v>44.8</v>
      </c>
      <c r="D32" s="250">
        <f ca="1">ROUND(D31/D29*100,1)</f>
        <v>8</v>
      </c>
      <c r="E32" s="69">
        <f t="shared" ca="1" si="0"/>
        <v>-36.799999999999997</v>
      </c>
      <c r="F32" s="240" t="s">
        <v>122</v>
      </c>
      <c r="G32" s="242">
        <f ca="1">ROUND(G31/G29*100,1)</f>
        <v>75.7</v>
      </c>
      <c r="H32" s="250">
        <f ca="1">ROUND(H31/H29*100,1)</f>
        <v>14</v>
      </c>
      <c r="I32" s="69">
        <f t="shared" ca="1" si="1"/>
        <v>-61.7</v>
      </c>
      <c r="J32" s="240" t="s">
        <v>122</v>
      </c>
      <c r="K32" s="242">
        <f ca="1">ROUND(K31/K29*100,1)</f>
        <v>44.8</v>
      </c>
      <c r="L32" s="250">
        <f ca="1">ROUND(L31/L29*100,1)</f>
        <v>8</v>
      </c>
      <c r="M32" s="69">
        <f t="shared" ca="1" si="2"/>
        <v>-36.799999999999997</v>
      </c>
      <c r="N32" s="69" t="s">
        <v>123</v>
      </c>
    </row>
    <row r="33" spans="1:179" s="40" customFormat="1" ht="20.25" customHeight="1">
      <c r="A33" s="336"/>
      <c r="B33" s="45" t="s">
        <v>635</v>
      </c>
      <c r="C33" s="56">
        <f ca="1">C31/C22*100</f>
        <v>4.2948038176033929</v>
      </c>
      <c r="D33" s="250">
        <f ca="1">D31/D22*100</f>
        <v>0.61452513966480438</v>
      </c>
      <c r="E33" s="48">
        <f t="shared" ca="1" si="0"/>
        <v>-3.6802786779385883</v>
      </c>
      <c r="F33" s="47" t="s">
        <v>122</v>
      </c>
      <c r="G33" s="56">
        <f ca="1">G31/G22*100</f>
        <v>13.109243697478993</v>
      </c>
      <c r="H33" s="250">
        <f ca="1">H31/H22*100</f>
        <v>1.0362694300518136</v>
      </c>
      <c r="I33" s="48">
        <f t="shared" ca="1" si="1"/>
        <v>-12.072974267427179</v>
      </c>
      <c r="J33" s="47" t="s">
        <v>122</v>
      </c>
      <c r="K33" s="56">
        <f ca="1">K31/K22*100</f>
        <v>4.2948038176033929</v>
      </c>
      <c r="L33" s="250">
        <f ca="1">L31/L22*100</f>
        <v>0.61452513966480438</v>
      </c>
      <c r="M33" s="48">
        <f t="shared" ca="1" si="2"/>
        <v>-3.6802786779385883</v>
      </c>
      <c r="N33" s="48" t="s">
        <v>123</v>
      </c>
    </row>
    <row r="34" spans="1:179" s="241" customFormat="1" ht="24.75" customHeight="1">
      <c r="A34" s="336"/>
      <c r="B34" s="245" t="s">
        <v>641</v>
      </c>
      <c r="C34" s="244">
        <f ca="1">INDIRECT("'400'!"&amp;T2&amp;"48")</f>
        <v>1099</v>
      </c>
      <c r="D34" s="249">
        <f ca="1">INDIRECT("'400'!"&amp;T2&amp;"49")</f>
        <v>1070</v>
      </c>
      <c r="E34" s="240">
        <f t="shared" ca="1" si="0"/>
        <v>-29</v>
      </c>
      <c r="F34" s="69">
        <f ca="1">(E34/C34*100)</f>
        <v>-2.6387625113739763</v>
      </c>
      <c r="G34" s="244">
        <f ca="1">INDIRECT("'300'!"&amp;T2&amp;"48")</f>
        <v>318</v>
      </c>
      <c r="H34" s="249">
        <f ca="1">INDIRECT("'300'!"&amp;T2&amp;"49")</f>
        <v>336</v>
      </c>
      <c r="I34" s="240">
        <f t="shared" ca="1" si="1"/>
        <v>18</v>
      </c>
      <c r="J34" s="69">
        <f ca="1">(I34/G34*100)</f>
        <v>5.6603773584905666</v>
      </c>
      <c r="K34" s="244">
        <f ca="1">INDIRECT("'"&amp;Q2&amp;"'!"&amp;T2&amp;"48")</f>
        <v>1099</v>
      </c>
      <c r="L34" s="249">
        <f ca="1">INDIRECT("'"&amp;Q2&amp;"'!"&amp;T2&amp;"49")</f>
        <v>1070</v>
      </c>
      <c r="M34" s="240">
        <f t="shared" ca="1" si="2"/>
        <v>-29</v>
      </c>
      <c r="N34" s="69">
        <f t="shared" ref="N34:N38" ca="1" si="6">L34/K34*100-100</f>
        <v>-2.6387625113739688</v>
      </c>
    </row>
    <row r="35" spans="1:179" s="40" customFormat="1" ht="19.5" customHeight="1">
      <c r="A35" s="336"/>
      <c r="B35" s="45" t="s">
        <v>635</v>
      </c>
      <c r="C35" s="56">
        <f ca="1">C34/C22*100</f>
        <v>58.271474019088018</v>
      </c>
      <c r="D35" s="250">
        <f ca="1">D34/D22*100</f>
        <v>59.77653631284916</v>
      </c>
      <c r="E35" s="48">
        <f t="shared" ca="1" si="0"/>
        <v>1.5050622937611422</v>
      </c>
      <c r="F35" s="47" t="s">
        <v>122</v>
      </c>
      <c r="G35" s="56">
        <f ca="1">G34/G22*100</f>
        <v>53.445378151260506</v>
      </c>
      <c r="H35" s="250">
        <f ca="1">H34/H22*100</f>
        <v>58.031088082901547</v>
      </c>
      <c r="I35" s="48">
        <f t="shared" ca="1" si="1"/>
        <v>4.5857099316410412</v>
      </c>
      <c r="J35" s="47" t="s">
        <v>122</v>
      </c>
      <c r="K35" s="56">
        <f ca="1">K34/K22*100</f>
        <v>58.271474019088018</v>
      </c>
      <c r="L35" s="250">
        <f ca="1">L34/L22*100</f>
        <v>59.77653631284916</v>
      </c>
      <c r="M35" s="48">
        <f t="shared" ca="1" si="2"/>
        <v>1.5050622937611422</v>
      </c>
      <c r="N35" s="48" t="s">
        <v>123</v>
      </c>
    </row>
    <row r="36" spans="1:179" s="241" customFormat="1" ht="19.5" customHeight="1">
      <c r="A36" s="336"/>
      <c r="B36" s="238" t="s">
        <v>642</v>
      </c>
      <c r="C36" s="244">
        <f ca="1">INDIRECT("'400'!"&amp;T2&amp;"50")</f>
        <v>1128</v>
      </c>
      <c r="D36" s="249">
        <f ca="1">INDIRECT("'400'!"&amp;T2&amp;"51")</f>
        <v>1125</v>
      </c>
      <c r="E36" s="240">
        <f t="shared" ca="1" si="0"/>
        <v>-3</v>
      </c>
      <c r="F36" s="69">
        <f ca="1">(E36/C36*100)</f>
        <v>-0.26595744680851063</v>
      </c>
      <c r="G36" s="244">
        <f ca="1">INDIRECT("'300'!"&amp;T2&amp;"50")</f>
        <v>645</v>
      </c>
      <c r="H36" s="249">
        <f ca="1">INDIRECT("'300'!"&amp;T2&amp;"51")</f>
        <v>673</v>
      </c>
      <c r="I36" s="240">
        <f t="shared" ca="1" si="1"/>
        <v>28</v>
      </c>
      <c r="J36" s="69">
        <f ca="1">(I36/G36*100)</f>
        <v>4.3410852713178292</v>
      </c>
      <c r="K36" s="244">
        <f ca="1">INDIRECT("'"&amp;Q2&amp;"'!"&amp;T2&amp;"50")</f>
        <v>1128</v>
      </c>
      <c r="L36" s="249">
        <f ca="1">INDIRECT("'"&amp;Q2&amp;"'!"&amp;T2&amp;"51")</f>
        <v>1125</v>
      </c>
      <c r="M36" s="240">
        <f t="shared" ca="1" si="2"/>
        <v>-3</v>
      </c>
      <c r="N36" s="69">
        <f t="shared" ca="1" si="6"/>
        <v>-0.26595744680849975</v>
      </c>
    </row>
    <row r="37" spans="1:179" s="40" customFormat="1" ht="19.5" customHeight="1">
      <c r="A37" s="336"/>
      <c r="B37" s="45" t="s">
        <v>151</v>
      </c>
      <c r="C37" s="56">
        <f ca="1">C36/C6*100</f>
        <v>32.009080590238362</v>
      </c>
      <c r="D37" s="250">
        <f ca="1">D36/D6*100</f>
        <v>31.556802244039272</v>
      </c>
      <c r="E37" s="48">
        <f t="shared" ca="1" si="0"/>
        <v>-0.45227834619909046</v>
      </c>
      <c r="F37" s="47" t="s">
        <v>122</v>
      </c>
      <c r="G37" s="56">
        <f ca="1">G36/G6*100</f>
        <v>41.855937702790399</v>
      </c>
      <c r="H37" s="250">
        <f ca="1">H36/H6*100</f>
        <v>42.0625</v>
      </c>
      <c r="I37" s="48">
        <f t="shared" ca="1" si="1"/>
        <v>0.20656229720960084</v>
      </c>
      <c r="J37" s="47" t="s">
        <v>122</v>
      </c>
      <c r="K37" s="56">
        <f ca="1">K36/K6*100</f>
        <v>32.009080590238362</v>
      </c>
      <c r="L37" s="250">
        <f ca="1">L36/L6*100</f>
        <v>31.556802244039272</v>
      </c>
      <c r="M37" s="48">
        <f t="shared" ca="1" si="2"/>
        <v>-0.45227834619909046</v>
      </c>
      <c r="N37" s="48" t="s">
        <v>123</v>
      </c>
    </row>
    <row r="38" spans="1:179" s="241" customFormat="1" ht="19.5" customHeight="1">
      <c r="A38" s="336"/>
      <c r="B38" s="238" t="s">
        <v>643</v>
      </c>
      <c r="C38" s="244">
        <f ca="1">INDIRECT("'400'!"&amp;T2&amp;"52")</f>
        <v>702</v>
      </c>
      <c r="D38" s="249">
        <f ca="1">INDIRECT("'400'!"&amp;T2&amp;"53")</f>
        <v>674</v>
      </c>
      <c r="E38" s="240">
        <f t="shared" ca="1" si="0"/>
        <v>-28</v>
      </c>
      <c r="F38" s="69">
        <f ca="1">(E38/C38*100)</f>
        <v>-3.9886039886039883</v>
      </c>
      <c r="G38" s="244">
        <f ca="1">INDIRECT("'300'!"&amp;T2&amp;"52")</f>
        <v>393</v>
      </c>
      <c r="H38" s="249">
        <f ca="1">INDIRECT("'300'!"&amp;T2&amp;"53")</f>
        <v>386</v>
      </c>
      <c r="I38" s="246">
        <f t="shared" ca="1" si="1"/>
        <v>-7</v>
      </c>
      <c r="J38" s="247">
        <f ca="1">(I38/G38*100)</f>
        <v>-1.7811704834605597</v>
      </c>
      <c r="K38" s="244">
        <f ca="1">INDIRECT("'"&amp;Q2&amp;"'!"&amp;T2&amp;"52")</f>
        <v>702</v>
      </c>
      <c r="L38" s="249">
        <f ca="1">INDIRECT("'"&amp;Q2&amp;"'!"&amp;T2&amp;"53")</f>
        <v>674</v>
      </c>
      <c r="M38" s="246">
        <f t="shared" ca="1" si="2"/>
        <v>-28</v>
      </c>
      <c r="N38" s="69">
        <f t="shared" ca="1" si="6"/>
        <v>-3.9886039886039839</v>
      </c>
    </row>
    <row r="39" spans="1:179" s="40" customFormat="1" ht="19.5" customHeight="1">
      <c r="A39" s="336"/>
      <c r="B39" s="45" t="s">
        <v>151</v>
      </c>
      <c r="C39" s="56">
        <f ca="1">C38/C6*100</f>
        <v>19.920544835414304</v>
      </c>
      <c r="D39" s="250">
        <f ca="1">D38/D6*100</f>
        <v>18.906030855539971</v>
      </c>
      <c r="E39" s="48">
        <f t="shared" ca="1" si="0"/>
        <v>-1.0145139798743337</v>
      </c>
      <c r="F39" s="47" t="s">
        <v>122</v>
      </c>
      <c r="G39" s="56">
        <f ca="1">G38/G6*100</f>
        <v>25.502920181700194</v>
      </c>
      <c r="H39" s="250">
        <f ca="1">H38/H6*100</f>
        <v>24.125</v>
      </c>
      <c r="I39" s="48">
        <f t="shared" ca="1" si="1"/>
        <v>-1.377920181700194</v>
      </c>
      <c r="J39" s="47" t="s">
        <v>122</v>
      </c>
      <c r="K39" s="56">
        <f ca="1">K38/K6*100</f>
        <v>19.920544835414304</v>
      </c>
      <c r="L39" s="250">
        <f ca="1">L38/L6*100</f>
        <v>18.906030855539971</v>
      </c>
      <c r="M39" s="48">
        <f t="shared" ca="1" si="2"/>
        <v>-1.0145139798743337</v>
      </c>
      <c r="N39" s="48" t="s">
        <v>123</v>
      </c>
    </row>
    <row r="40" spans="1:179" s="241" customFormat="1" ht="19.5" customHeight="1">
      <c r="A40" s="336"/>
      <c r="B40" s="238" t="s">
        <v>644</v>
      </c>
      <c r="C40" s="244">
        <f ca="1">INDIRECT("'400'!"&amp;T2&amp;"54")</f>
        <v>5</v>
      </c>
      <c r="D40" s="249">
        <f ca="1">INDIRECT("'400'!"&amp;T2&amp;"55")</f>
        <v>9</v>
      </c>
      <c r="E40" s="240">
        <f t="shared" ca="1" si="0"/>
        <v>4</v>
      </c>
      <c r="F40" s="69">
        <f ca="1">(E40/C40*100)</f>
        <v>80</v>
      </c>
      <c r="G40" s="244">
        <f ca="1">INDIRECT("'300'!"&amp;T2&amp;"54")</f>
        <v>0</v>
      </c>
      <c r="H40" s="249">
        <f ca="1">INDIRECT("'300'!"&amp;T2&amp;"55")</f>
        <v>1</v>
      </c>
      <c r="I40" s="240">
        <f t="shared" ca="1" si="1"/>
        <v>1</v>
      </c>
      <c r="J40" s="69" t="e">
        <f ca="1">(I40/G40*100)</f>
        <v>#DIV/0!</v>
      </c>
      <c r="K40" s="244">
        <f ca="1">INDIRECT("'"&amp;Q2&amp;"'!"&amp;T2&amp;"54")</f>
        <v>5</v>
      </c>
      <c r="L40" s="249">
        <f ca="1">INDIRECT("'"&amp;Q2&amp;"'!"&amp;T2&amp;"55")</f>
        <v>9</v>
      </c>
      <c r="M40" s="240">
        <f t="shared" ca="1" si="2"/>
        <v>4</v>
      </c>
      <c r="N40" s="69">
        <v>0</v>
      </c>
    </row>
    <row r="41" spans="1:179" s="40" customFormat="1" ht="19.5" customHeight="1">
      <c r="A41" s="336"/>
      <c r="B41" s="45" t="s">
        <v>151</v>
      </c>
      <c r="C41" s="56">
        <f ca="1">C40/C6*100</f>
        <v>0.14188422247446084</v>
      </c>
      <c r="D41" s="250">
        <f ca="1">D40/D6*100</f>
        <v>0.25245441795231416</v>
      </c>
      <c r="E41" s="48">
        <f t="shared" ca="1" si="0"/>
        <v>0.11057019547785332</v>
      </c>
      <c r="F41" s="47" t="s">
        <v>122</v>
      </c>
      <c r="G41" s="56">
        <f ca="1">G40/G6*100</f>
        <v>0</v>
      </c>
      <c r="H41" s="250">
        <f ca="1">H40/H6*100</f>
        <v>6.25E-2</v>
      </c>
      <c r="I41" s="48">
        <f t="shared" ca="1" si="1"/>
        <v>6.25E-2</v>
      </c>
      <c r="J41" s="47" t="s">
        <v>122</v>
      </c>
      <c r="K41" s="56">
        <f ca="1">K40/K6*100</f>
        <v>0.14188422247446084</v>
      </c>
      <c r="L41" s="250">
        <f ca="1">L40/L6*100</f>
        <v>0.25245441795231416</v>
      </c>
      <c r="M41" s="48">
        <f t="shared" ca="1" si="2"/>
        <v>0.11057019547785332</v>
      </c>
      <c r="N41" s="47" t="s">
        <v>122</v>
      </c>
    </row>
    <row r="42" spans="1:179"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</row>
  </sheetData>
  <mergeCells count="14">
    <mergeCell ref="A25:A41"/>
    <mergeCell ref="B3:D3"/>
    <mergeCell ref="A1:N1"/>
    <mergeCell ref="A2:N2"/>
    <mergeCell ref="A4:A24"/>
    <mergeCell ref="C4:D4"/>
    <mergeCell ref="E4:E5"/>
    <mergeCell ref="F4:F5"/>
    <mergeCell ref="G4:H4"/>
    <mergeCell ref="I4:I5"/>
    <mergeCell ref="J4:J5"/>
    <mergeCell ref="K4:L4"/>
    <mergeCell ref="M4:M5"/>
    <mergeCell ref="N4:N5"/>
  </mergeCells>
  <dataValidations count="2">
    <dataValidation type="list" allowBlank="1" showInputMessage="1" showErrorMessage="1" sqref="R2">
      <formula1>Справочник!E1:E12</formula1>
    </dataValidation>
    <dataValidation type="list" allowBlank="1" showInputMessage="1" showErrorMessage="1" sqref="P2">
      <formula1>Справочник!B1:B63</formula1>
    </dataValidation>
  </dataValidations>
  <pageMargins left="0.78740157480314965" right="0" top="0.43307086614173229" bottom="0.39370078740157483" header="0" footer="0"/>
  <pageSetup paperSize="9" scale="75" orientation="portrait" errors="blank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R108"/>
  <sheetViews>
    <sheetView topLeftCell="A58" workbookViewId="0">
      <selection activeCell="A6" sqref="A6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7" width="9.140625" style="2"/>
    <col min="18" max="18" width="10.28515625" style="2" bestFit="1" customWidth="1"/>
    <col min="19" max="16384" width="9.140625" style="2"/>
  </cols>
  <sheetData>
    <row r="1" spans="1:15" ht="26.25">
      <c r="A1" s="37" t="s">
        <v>117</v>
      </c>
      <c r="C1" s="2" t="s">
        <v>532</v>
      </c>
      <c r="D1" s="2">
        <v>99</v>
      </c>
    </row>
    <row r="2" spans="1:15">
      <c r="C2" s="2" t="s">
        <v>531</v>
      </c>
      <c r="D2" s="2">
        <v>100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'101'!D4+'102'!D4+'103'!D4+'104'!D4+'105'!D4+'106'!D4+'107'!D4+'112'!D4</f>
        <v>1541</v>
      </c>
      <c r="E4" s="24">
        <f ca="1">'101'!E4+'102'!E4+'103'!E4+'104'!E4+'105'!E4+'106'!E4+'107'!E4+'112'!E4</f>
        <v>0</v>
      </c>
      <c r="F4" s="24">
        <f ca="1">'101'!F4+'102'!F4+'103'!F4+'104'!F4+'105'!F4+'106'!F4+'107'!F4+'112'!F4</f>
        <v>0</v>
      </c>
      <c r="G4" s="24">
        <f ca="1">'101'!G4+'102'!G4+'103'!G4+'104'!G4+'105'!G4+'106'!G4+'107'!G4+'112'!G4</f>
        <v>0</v>
      </c>
      <c r="H4" s="24">
        <f ca="1">'101'!H4+'102'!H4+'103'!H4+'104'!H4+'105'!H4+'106'!H4+'107'!H4+'112'!H4</f>
        <v>0</v>
      </c>
      <c r="I4" s="24">
        <f ca="1">'101'!I4+'102'!I4+'103'!I4+'104'!I4+'105'!I4+'106'!I4+'107'!I4+'112'!I4</f>
        <v>0</v>
      </c>
      <c r="J4" s="24">
        <f ca="1">'101'!J4+'102'!J4+'103'!J4+'104'!J4+'105'!J4+'106'!J4+'107'!J4+'112'!J4</f>
        <v>0</v>
      </c>
      <c r="K4" s="24">
        <f ca="1">'101'!K4+'102'!K4+'103'!K4+'104'!K4+'105'!K4+'106'!K4+'107'!K4+'112'!K4</f>
        <v>0</v>
      </c>
      <c r="L4" s="24">
        <f ca="1">'101'!L4+'102'!L4+'103'!L4+'104'!L4+'105'!L4+'106'!L4+'107'!L4+'112'!L4</f>
        <v>0</v>
      </c>
      <c r="M4" s="24">
        <f ca="1">'101'!M4+'102'!M4+'103'!M4+'104'!M4+'105'!M4+'106'!M4+'107'!M4+'112'!M4</f>
        <v>0</v>
      </c>
      <c r="N4" s="24">
        <f ca="1">'101'!N4+'102'!N4+'103'!N4+'104'!N4+'105'!N4+'106'!N4+'107'!N4+'112'!N4</f>
        <v>0</v>
      </c>
      <c r="O4" s="24">
        <f ca="1">'101'!O4+'102'!O4+'103'!O4+'104'!O4+'105'!O4+'106'!O4+'107'!O4+'112'!O4</f>
        <v>0</v>
      </c>
    </row>
    <row r="5" spans="1:15" ht="18.75">
      <c r="A5" s="22"/>
      <c r="B5" s="24"/>
      <c r="C5" s="33">
        <f>Справочник!J1</f>
        <v>2019</v>
      </c>
      <c r="D5" s="24">
        <f ca="1">'101'!D5+'102'!D5+'103'!D5+'104'!D5+'105'!D5+'106'!D5+'107'!D5+'112'!D5</f>
        <v>1600</v>
      </c>
      <c r="E5" s="24">
        <f ca="1">'101'!E5+'102'!E5+'103'!E5+'104'!E5+'105'!E5+'106'!E5+'107'!E5+'112'!E5</f>
        <v>0</v>
      </c>
      <c r="F5" s="24">
        <f ca="1">'101'!F5+'102'!F5+'103'!F5+'104'!F5+'105'!F5+'106'!F5+'107'!F5+'112'!F5</f>
        <v>0</v>
      </c>
      <c r="G5" s="24">
        <f ca="1">'101'!G5+'102'!G5+'103'!G5+'104'!G5+'105'!G5+'106'!G5+'107'!G5+'112'!G5</f>
        <v>0</v>
      </c>
      <c r="H5" s="24">
        <f ca="1">'101'!H5+'102'!H5+'103'!H5+'104'!H5+'105'!H5+'106'!H5+'107'!H5+'112'!H5</f>
        <v>0</v>
      </c>
      <c r="I5" s="24">
        <f ca="1">'101'!I5+'102'!I5+'103'!I5+'104'!I5+'105'!I5+'106'!I5+'107'!I5+'112'!I5</f>
        <v>0</v>
      </c>
      <c r="J5" s="24">
        <f ca="1">'101'!J5+'102'!J5+'103'!J5+'104'!J5+'105'!J5+'106'!J5+'107'!J5+'112'!J5</f>
        <v>0</v>
      </c>
      <c r="K5" s="24">
        <f ca="1">'101'!K5+'102'!K5+'103'!K5+'104'!K5+'105'!K5+'106'!K5+'107'!K5+'112'!K5</f>
        <v>0</v>
      </c>
      <c r="L5" s="24">
        <f ca="1">'101'!L5+'102'!L5+'103'!L5+'104'!L5+'105'!L5+'106'!L5+'107'!L5+'112'!L5</f>
        <v>0</v>
      </c>
      <c r="M5" s="24">
        <f ca="1">'101'!M5+'102'!M5+'103'!M5+'104'!M5+'105'!M5+'106'!M5+'107'!M5+'112'!M5</f>
        <v>0</v>
      </c>
      <c r="N5" s="24">
        <f ca="1">'101'!N5+'102'!N5+'103'!N5+'104'!N5+'105'!N5+'106'!N5+'107'!N5+'112'!N5</f>
        <v>0</v>
      </c>
      <c r="O5" s="24">
        <f ca="1">'101'!O5+'102'!O5+'103'!O5+'104'!O5+'105'!O5+'106'!O5+'107'!O5+'112'!O5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'101'!D6+'102'!D6+'103'!D6+'104'!D6+'105'!D6+'106'!D6+'107'!D6+'112'!D6</f>
        <v>331</v>
      </c>
      <c r="E6" s="24">
        <f ca="1">'101'!E6+'102'!E6+'103'!E6+'104'!E6+'105'!E6+'106'!E6+'107'!E6+'112'!E6</f>
        <v>0</v>
      </c>
      <c r="F6" s="24">
        <f ca="1">'101'!F6+'102'!F6+'103'!F6+'104'!F6+'105'!F6+'106'!F6+'107'!F6+'112'!F6</f>
        <v>0</v>
      </c>
      <c r="G6" s="24">
        <f ca="1">'101'!G6+'102'!G6+'103'!G6+'104'!G6+'105'!G6+'106'!G6+'107'!G6+'112'!G6</f>
        <v>0</v>
      </c>
      <c r="H6" s="24">
        <f ca="1">'101'!H6+'102'!H6+'103'!H6+'104'!H6+'105'!H6+'106'!H6+'107'!H6+'112'!H6</f>
        <v>0</v>
      </c>
      <c r="I6" s="24">
        <f ca="1">'101'!I6+'102'!I6+'103'!I6+'104'!I6+'105'!I6+'106'!I6+'107'!I6+'112'!I6</f>
        <v>0</v>
      </c>
      <c r="J6" s="24">
        <f ca="1">'101'!J6+'102'!J6+'103'!J6+'104'!J6+'105'!J6+'106'!J6+'107'!J6+'112'!J6</f>
        <v>0</v>
      </c>
      <c r="K6" s="24">
        <f ca="1">'101'!K6+'102'!K6+'103'!K6+'104'!K6+'105'!K6+'106'!K6+'107'!K6+'112'!K6</f>
        <v>0</v>
      </c>
      <c r="L6" s="24">
        <f ca="1">'101'!L6+'102'!L6+'103'!L6+'104'!L6+'105'!L6+'106'!L6+'107'!L6+'112'!L6</f>
        <v>0</v>
      </c>
      <c r="M6" s="24">
        <f ca="1">'101'!M6+'102'!M6+'103'!M6+'104'!M6+'105'!M6+'106'!M6+'107'!M6+'112'!M6</f>
        <v>0</v>
      </c>
      <c r="N6" s="24">
        <f ca="1">'101'!N6+'102'!N6+'103'!N6+'104'!N6+'105'!N6+'106'!N6+'107'!N6+'112'!N6</f>
        <v>0</v>
      </c>
      <c r="O6" s="24">
        <f ca="1">'101'!O6+'102'!O6+'103'!O6+'104'!O6+'105'!O6+'106'!O6+'107'!O6+'112'!O6</f>
        <v>0</v>
      </c>
    </row>
    <row r="7" spans="1:15">
      <c r="A7" s="25"/>
      <c r="B7" s="24"/>
      <c r="C7" s="34">
        <f>Справочник!J1</f>
        <v>2019</v>
      </c>
      <c r="D7" s="24">
        <f ca="1">'101'!D7+'102'!D7+'103'!D7+'104'!D7+'105'!D7+'106'!D7+'107'!D7+'112'!D7</f>
        <v>322</v>
      </c>
      <c r="E7" s="24">
        <f ca="1">'101'!E7+'102'!E7+'103'!E7+'104'!E7+'105'!E7+'106'!E7+'107'!E7+'112'!E7</f>
        <v>0</v>
      </c>
      <c r="F7" s="24">
        <f ca="1">'101'!F7+'102'!F7+'103'!F7+'104'!F7+'105'!F7+'106'!F7+'107'!F7+'112'!F7</f>
        <v>0</v>
      </c>
      <c r="G7" s="24">
        <f ca="1">'101'!G7+'102'!G7+'103'!G7+'104'!G7+'105'!G7+'106'!G7+'107'!G7+'112'!G7</f>
        <v>0</v>
      </c>
      <c r="H7" s="24">
        <f ca="1">'101'!H7+'102'!H7+'103'!H7+'104'!H7+'105'!H7+'106'!H7+'107'!H7+'112'!H7</f>
        <v>0</v>
      </c>
      <c r="I7" s="24">
        <f ca="1">'101'!I7+'102'!I7+'103'!I7+'104'!I7+'105'!I7+'106'!I7+'107'!I7+'112'!I7</f>
        <v>0</v>
      </c>
      <c r="J7" s="24">
        <f ca="1">'101'!J7+'102'!J7+'103'!J7+'104'!J7+'105'!J7+'106'!J7+'107'!J7+'112'!J7</f>
        <v>0</v>
      </c>
      <c r="K7" s="24">
        <f ca="1">'101'!K7+'102'!K7+'103'!K7+'104'!K7+'105'!K7+'106'!K7+'107'!K7+'112'!K7</f>
        <v>0</v>
      </c>
      <c r="L7" s="24">
        <f ca="1">'101'!L7+'102'!L7+'103'!L7+'104'!L7+'105'!L7+'106'!L7+'107'!L7+'112'!L7</f>
        <v>0</v>
      </c>
      <c r="M7" s="24">
        <f ca="1">'101'!M7+'102'!M7+'103'!M7+'104'!M7+'105'!M7+'106'!M7+'107'!M7+'112'!M7</f>
        <v>0</v>
      </c>
      <c r="N7" s="24">
        <f ca="1">'101'!N7+'102'!N7+'103'!N7+'104'!N7+'105'!N7+'106'!N7+'107'!N7+'112'!N7</f>
        <v>0</v>
      </c>
      <c r="O7" s="24">
        <f ca="1">'101'!O7+'102'!O7+'103'!O7+'104'!O7+'105'!O7+'106'!O7+'107'!O7+'112'!O7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'101'!D8+'102'!D8+'103'!D8+'104'!D8+'105'!D8+'106'!D8+'107'!D8+'112'!D8</f>
        <v>5</v>
      </c>
      <c r="E8" s="24">
        <f ca="1">'101'!E8+'102'!E8+'103'!E8+'104'!E8+'105'!E8+'106'!E8+'107'!E8+'112'!E8</f>
        <v>0</v>
      </c>
      <c r="F8" s="24">
        <f ca="1">'101'!F8+'102'!F8+'103'!F8+'104'!F8+'105'!F8+'106'!F8+'107'!F8+'112'!F8</f>
        <v>0</v>
      </c>
      <c r="G8" s="24">
        <f ca="1">'101'!G8+'102'!G8+'103'!G8+'104'!G8+'105'!G8+'106'!G8+'107'!G8+'112'!G8</f>
        <v>0</v>
      </c>
      <c r="H8" s="24">
        <f ca="1">'101'!H8+'102'!H8+'103'!H8+'104'!H8+'105'!H8+'106'!H8+'107'!H8+'112'!H8</f>
        <v>0</v>
      </c>
      <c r="I8" s="24">
        <f ca="1">'101'!I8+'102'!I8+'103'!I8+'104'!I8+'105'!I8+'106'!I8+'107'!I8+'112'!I8</f>
        <v>0</v>
      </c>
      <c r="J8" s="24">
        <f ca="1">'101'!J8+'102'!J8+'103'!J8+'104'!J8+'105'!J8+'106'!J8+'107'!J8+'112'!J8</f>
        <v>0</v>
      </c>
      <c r="K8" s="24">
        <f ca="1">'101'!K8+'102'!K8+'103'!K8+'104'!K8+'105'!K8+'106'!K8+'107'!K8+'112'!K8</f>
        <v>0</v>
      </c>
      <c r="L8" s="24">
        <f ca="1">'101'!L8+'102'!L8+'103'!L8+'104'!L8+'105'!L8+'106'!L8+'107'!L8+'112'!L8</f>
        <v>0</v>
      </c>
      <c r="M8" s="24">
        <f ca="1">'101'!M8+'102'!M8+'103'!M8+'104'!M8+'105'!M8+'106'!M8+'107'!M8+'112'!M8</f>
        <v>0</v>
      </c>
      <c r="N8" s="24">
        <f ca="1">'101'!N8+'102'!N8+'103'!N8+'104'!N8+'105'!N8+'106'!N8+'107'!N8+'112'!N8</f>
        <v>0</v>
      </c>
      <c r="O8" s="24">
        <f ca="1">'101'!O8+'102'!O8+'103'!O8+'104'!O8+'105'!O8+'106'!O8+'107'!O8+'112'!O8</f>
        <v>0</v>
      </c>
    </row>
    <row r="9" spans="1:15">
      <c r="A9" s="32"/>
      <c r="B9" s="24"/>
      <c r="C9" s="34">
        <f>Справочник!J1</f>
        <v>2019</v>
      </c>
      <c r="D9" s="24">
        <f ca="1">'101'!D9+'102'!D9+'103'!D9+'104'!D9+'105'!D9+'106'!D9+'107'!D9+'112'!D9</f>
        <v>8</v>
      </c>
      <c r="E9" s="24">
        <f ca="1">'101'!E9+'102'!E9+'103'!E9+'104'!E9+'105'!E9+'106'!E9+'107'!E9+'112'!E9</f>
        <v>0</v>
      </c>
      <c r="F9" s="24">
        <f ca="1">'101'!F9+'102'!F9+'103'!F9+'104'!F9+'105'!F9+'106'!F9+'107'!F9+'112'!F9</f>
        <v>0</v>
      </c>
      <c r="G9" s="24">
        <f ca="1">'101'!G9+'102'!G9+'103'!G9+'104'!G9+'105'!G9+'106'!G9+'107'!G9+'112'!G9</f>
        <v>0</v>
      </c>
      <c r="H9" s="24">
        <f ca="1">'101'!H9+'102'!H9+'103'!H9+'104'!H9+'105'!H9+'106'!H9+'107'!H9+'112'!H9</f>
        <v>0</v>
      </c>
      <c r="I9" s="24">
        <f ca="1">'101'!I9+'102'!I9+'103'!I9+'104'!I9+'105'!I9+'106'!I9+'107'!I9+'112'!I9</f>
        <v>0</v>
      </c>
      <c r="J9" s="24">
        <f ca="1">'101'!J9+'102'!J9+'103'!J9+'104'!J9+'105'!J9+'106'!J9+'107'!J9+'112'!J9</f>
        <v>0</v>
      </c>
      <c r="K9" s="24">
        <f ca="1">'101'!K9+'102'!K9+'103'!K9+'104'!K9+'105'!K9+'106'!K9+'107'!K9+'112'!K9</f>
        <v>0</v>
      </c>
      <c r="L9" s="24">
        <f ca="1">'101'!L9+'102'!L9+'103'!L9+'104'!L9+'105'!L9+'106'!L9+'107'!L9+'112'!L9</f>
        <v>0</v>
      </c>
      <c r="M9" s="24">
        <f ca="1">'101'!M9+'102'!M9+'103'!M9+'104'!M9+'105'!M9+'106'!M9+'107'!M9+'112'!M9</f>
        <v>0</v>
      </c>
      <c r="N9" s="24">
        <f ca="1">'101'!N9+'102'!N9+'103'!N9+'104'!N9+'105'!N9+'106'!N9+'107'!N9+'112'!N9</f>
        <v>0</v>
      </c>
      <c r="O9" s="24">
        <f ca="1">'101'!O9+'102'!O9+'103'!O9+'104'!O9+'105'!O9+'106'!O9+'107'!O9+'112'!O9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'101'!D10+'102'!D10+'103'!D10+'104'!D10+'105'!D10+'106'!D10+'107'!D10+'112'!D10</f>
        <v>24</v>
      </c>
      <c r="E10" s="24">
        <f ca="1">'101'!E10+'102'!E10+'103'!E10+'104'!E10+'105'!E10+'106'!E10+'107'!E10+'112'!E10</f>
        <v>0</v>
      </c>
      <c r="F10" s="24">
        <f ca="1">'101'!F10+'102'!F10+'103'!F10+'104'!F10+'105'!F10+'106'!F10+'107'!F10+'112'!F10</f>
        <v>0</v>
      </c>
      <c r="G10" s="24">
        <f ca="1">'101'!G10+'102'!G10+'103'!G10+'104'!G10+'105'!G10+'106'!G10+'107'!G10+'112'!G10</f>
        <v>0</v>
      </c>
      <c r="H10" s="24">
        <f ca="1">'101'!H10+'102'!H10+'103'!H10+'104'!H10+'105'!H10+'106'!H10+'107'!H10+'112'!H10</f>
        <v>0</v>
      </c>
      <c r="I10" s="24">
        <f ca="1">'101'!I10+'102'!I10+'103'!I10+'104'!I10+'105'!I10+'106'!I10+'107'!I10+'112'!I10</f>
        <v>0</v>
      </c>
      <c r="J10" s="24">
        <f ca="1">'101'!J10+'102'!J10+'103'!J10+'104'!J10+'105'!J10+'106'!J10+'107'!J10+'112'!J10</f>
        <v>0</v>
      </c>
      <c r="K10" s="24">
        <f ca="1">'101'!K10+'102'!K10+'103'!K10+'104'!K10+'105'!K10+'106'!K10+'107'!K10+'112'!K10</f>
        <v>0</v>
      </c>
      <c r="L10" s="24">
        <f ca="1">'101'!L10+'102'!L10+'103'!L10+'104'!L10+'105'!L10+'106'!L10+'107'!L10+'112'!L10</f>
        <v>0</v>
      </c>
      <c r="M10" s="24">
        <f ca="1">'101'!M10+'102'!M10+'103'!M10+'104'!M10+'105'!M10+'106'!M10+'107'!M10+'112'!M10</f>
        <v>0</v>
      </c>
      <c r="N10" s="24">
        <f ca="1">'101'!N10+'102'!N10+'103'!N10+'104'!N10+'105'!N10+'106'!N10+'107'!N10+'112'!N10</f>
        <v>0</v>
      </c>
      <c r="O10" s="24">
        <f ca="1">'101'!O10+'102'!O10+'103'!O10+'104'!O10+'105'!O10+'106'!O10+'107'!O10+'112'!O10</f>
        <v>0</v>
      </c>
    </row>
    <row r="11" spans="1:15">
      <c r="A11" s="29"/>
      <c r="B11" s="24"/>
      <c r="C11" s="33">
        <f>Справочник!J1</f>
        <v>2019</v>
      </c>
      <c r="D11" s="24">
        <f ca="1">'101'!D11+'102'!D11+'103'!D11+'104'!D11+'105'!D11+'106'!D11+'107'!D11+'112'!D11</f>
        <v>23</v>
      </c>
      <c r="E11" s="24">
        <f ca="1">'101'!E11+'102'!E11+'103'!E11+'104'!E11+'105'!E11+'106'!E11+'107'!E11+'112'!E11</f>
        <v>0</v>
      </c>
      <c r="F11" s="24">
        <f ca="1">'101'!F11+'102'!F11+'103'!F11+'104'!F11+'105'!F11+'106'!F11+'107'!F11+'112'!F11</f>
        <v>0</v>
      </c>
      <c r="G11" s="24">
        <f ca="1">'101'!G11+'102'!G11+'103'!G11+'104'!G11+'105'!G11+'106'!G11+'107'!G11+'112'!G11</f>
        <v>0</v>
      </c>
      <c r="H11" s="24">
        <f ca="1">'101'!H11+'102'!H11+'103'!H11+'104'!H11+'105'!H11+'106'!H11+'107'!H11+'112'!H11</f>
        <v>0</v>
      </c>
      <c r="I11" s="24">
        <f ca="1">'101'!I11+'102'!I11+'103'!I11+'104'!I11+'105'!I11+'106'!I11+'107'!I11+'112'!I11</f>
        <v>0</v>
      </c>
      <c r="J11" s="24">
        <f ca="1">'101'!J11+'102'!J11+'103'!J11+'104'!J11+'105'!J11+'106'!J11+'107'!J11+'112'!J11</f>
        <v>0</v>
      </c>
      <c r="K11" s="24">
        <f ca="1">'101'!K11+'102'!K11+'103'!K11+'104'!K11+'105'!K11+'106'!K11+'107'!K11+'112'!K11</f>
        <v>0</v>
      </c>
      <c r="L11" s="24">
        <f ca="1">'101'!L11+'102'!L11+'103'!L11+'104'!L11+'105'!L11+'106'!L11+'107'!L11+'112'!L11</f>
        <v>0</v>
      </c>
      <c r="M11" s="24">
        <f ca="1">'101'!M11+'102'!M11+'103'!M11+'104'!M11+'105'!M11+'106'!M11+'107'!M11+'112'!M11</f>
        <v>0</v>
      </c>
      <c r="N11" s="24">
        <f ca="1">'101'!N11+'102'!N11+'103'!N11+'104'!N11+'105'!N11+'106'!N11+'107'!N11+'112'!N11</f>
        <v>0</v>
      </c>
      <c r="O11" s="24">
        <f ca="1">'101'!O11+'102'!O11+'103'!O11+'104'!O11+'105'!O11+'106'!O11+'107'!O11+'112'!O11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'101'!D12+'102'!D12+'103'!D12+'104'!D12+'105'!D12+'106'!D12+'107'!D12+'112'!D12</f>
        <v>1</v>
      </c>
      <c r="E12" s="24">
        <f ca="1">'101'!E12+'102'!E12+'103'!E12+'104'!E12+'105'!E12+'106'!E12+'107'!E12+'112'!E12</f>
        <v>0</v>
      </c>
      <c r="F12" s="24">
        <f ca="1">'101'!F12+'102'!F12+'103'!F12+'104'!F12+'105'!F12+'106'!F12+'107'!F12+'112'!F12</f>
        <v>0</v>
      </c>
      <c r="G12" s="24">
        <f ca="1">'101'!G12+'102'!G12+'103'!G12+'104'!G12+'105'!G12+'106'!G12+'107'!G12+'112'!G12</f>
        <v>0</v>
      </c>
      <c r="H12" s="24">
        <f ca="1">'101'!H12+'102'!H12+'103'!H12+'104'!H12+'105'!H12+'106'!H12+'107'!H12+'112'!H12</f>
        <v>0</v>
      </c>
      <c r="I12" s="24">
        <f ca="1">'101'!I12+'102'!I12+'103'!I12+'104'!I12+'105'!I12+'106'!I12+'107'!I12+'112'!I12</f>
        <v>0</v>
      </c>
      <c r="J12" s="24">
        <f ca="1">'101'!J12+'102'!J12+'103'!J12+'104'!J12+'105'!J12+'106'!J12+'107'!J12+'112'!J12</f>
        <v>0</v>
      </c>
      <c r="K12" s="24">
        <f ca="1">'101'!K12+'102'!K12+'103'!K12+'104'!K12+'105'!K12+'106'!K12+'107'!K12+'112'!K12</f>
        <v>0</v>
      </c>
      <c r="L12" s="24">
        <f ca="1">'101'!L12+'102'!L12+'103'!L12+'104'!L12+'105'!L12+'106'!L12+'107'!L12+'112'!L12</f>
        <v>0</v>
      </c>
      <c r="M12" s="24">
        <f ca="1">'101'!M12+'102'!M12+'103'!M12+'104'!M12+'105'!M12+'106'!M12+'107'!M12+'112'!M12</f>
        <v>0</v>
      </c>
      <c r="N12" s="24">
        <f ca="1">'101'!N12+'102'!N12+'103'!N12+'104'!N12+'105'!N12+'106'!N12+'107'!N12+'112'!N12</f>
        <v>0</v>
      </c>
      <c r="O12" s="24">
        <f ca="1">'101'!O12+'102'!O12+'103'!O12+'104'!O12+'105'!O12+'106'!O12+'107'!O12+'112'!O12</f>
        <v>0</v>
      </c>
    </row>
    <row r="13" spans="1:15">
      <c r="A13" s="28"/>
      <c r="B13" s="24"/>
      <c r="C13" s="33">
        <f>Справочник!J1</f>
        <v>2019</v>
      </c>
      <c r="D13" s="24">
        <f ca="1">'101'!D13+'102'!D13+'103'!D13+'104'!D13+'105'!D13+'106'!D13+'107'!D13+'112'!D13</f>
        <v>2</v>
      </c>
      <c r="E13" s="24">
        <f ca="1">'101'!E13+'102'!E13+'103'!E13+'104'!E13+'105'!E13+'106'!E13+'107'!E13+'112'!E13</f>
        <v>0</v>
      </c>
      <c r="F13" s="24">
        <f ca="1">'101'!F13+'102'!F13+'103'!F13+'104'!F13+'105'!F13+'106'!F13+'107'!F13+'112'!F13</f>
        <v>0</v>
      </c>
      <c r="G13" s="24">
        <f ca="1">'101'!G13+'102'!G13+'103'!G13+'104'!G13+'105'!G13+'106'!G13+'107'!G13+'112'!G13</f>
        <v>0</v>
      </c>
      <c r="H13" s="24">
        <f ca="1">'101'!H13+'102'!H13+'103'!H13+'104'!H13+'105'!H13+'106'!H13+'107'!H13+'112'!H13</f>
        <v>0</v>
      </c>
      <c r="I13" s="24">
        <f ca="1">'101'!I13+'102'!I13+'103'!I13+'104'!I13+'105'!I13+'106'!I13+'107'!I13+'112'!I13</f>
        <v>0</v>
      </c>
      <c r="J13" s="24">
        <f ca="1">'101'!J13+'102'!J13+'103'!J13+'104'!J13+'105'!J13+'106'!J13+'107'!J13+'112'!J13</f>
        <v>0</v>
      </c>
      <c r="K13" s="24">
        <f ca="1">'101'!K13+'102'!K13+'103'!K13+'104'!K13+'105'!K13+'106'!K13+'107'!K13+'112'!K13</f>
        <v>0</v>
      </c>
      <c r="L13" s="24">
        <f ca="1">'101'!L13+'102'!L13+'103'!L13+'104'!L13+'105'!L13+'106'!L13+'107'!L13+'112'!L13</f>
        <v>0</v>
      </c>
      <c r="M13" s="24">
        <f ca="1">'101'!M13+'102'!M13+'103'!M13+'104'!M13+'105'!M13+'106'!M13+'107'!M13+'112'!M13</f>
        <v>0</v>
      </c>
      <c r="N13" s="24">
        <f ca="1">'101'!N13+'102'!N13+'103'!N13+'104'!N13+'105'!N13+'106'!N13+'107'!N13+'112'!N13</f>
        <v>0</v>
      </c>
      <c r="O13" s="24">
        <f ca="1">'101'!O13+'102'!O13+'103'!O13+'104'!O13+'105'!O13+'106'!O13+'107'!O13+'112'!O13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'101'!D14+'102'!D14+'103'!D14+'104'!D14+'105'!D14+'106'!D14+'107'!D14+'112'!D14</f>
        <v>2</v>
      </c>
      <c r="E14" s="24">
        <f ca="1">'101'!E14+'102'!E14+'103'!E14+'104'!E14+'105'!E14+'106'!E14+'107'!E14+'112'!E14</f>
        <v>0</v>
      </c>
      <c r="F14" s="24">
        <f ca="1">'101'!F14+'102'!F14+'103'!F14+'104'!F14+'105'!F14+'106'!F14+'107'!F14+'112'!F14</f>
        <v>0</v>
      </c>
      <c r="G14" s="24">
        <f ca="1">'101'!G14+'102'!G14+'103'!G14+'104'!G14+'105'!G14+'106'!G14+'107'!G14+'112'!G14</f>
        <v>0</v>
      </c>
      <c r="H14" s="24">
        <f ca="1">'101'!H14+'102'!H14+'103'!H14+'104'!H14+'105'!H14+'106'!H14+'107'!H14+'112'!H14</f>
        <v>0</v>
      </c>
      <c r="I14" s="24">
        <f ca="1">'101'!I14+'102'!I14+'103'!I14+'104'!I14+'105'!I14+'106'!I14+'107'!I14+'112'!I14</f>
        <v>0</v>
      </c>
      <c r="J14" s="24">
        <f ca="1">'101'!J14+'102'!J14+'103'!J14+'104'!J14+'105'!J14+'106'!J14+'107'!J14+'112'!J14</f>
        <v>0</v>
      </c>
      <c r="K14" s="24">
        <f ca="1">'101'!K14+'102'!K14+'103'!K14+'104'!K14+'105'!K14+'106'!K14+'107'!K14+'112'!K14</f>
        <v>0</v>
      </c>
      <c r="L14" s="24">
        <f ca="1">'101'!L14+'102'!L14+'103'!L14+'104'!L14+'105'!L14+'106'!L14+'107'!L14+'112'!L14</f>
        <v>0</v>
      </c>
      <c r="M14" s="24">
        <f ca="1">'101'!M14+'102'!M14+'103'!M14+'104'!M14+'105'!M14+'106'!M14+'107'!M14+'112'!M14</f>
        <v>0</v>
      </c>
      <c r="N14" s="24">
        <f ca="1">'101'!N14+'102'!N14+'103'!N14+'104'!N14+'105'!N14+'106'!N14+'107'!N14+'112'!N14</f>
        <v>0</v>
      </c>
      <c r="O14" s="24">
        <f ca="1">'101'!O14+'102'!O14+'103'!O14+'104'!O14+'105'!O14+'106'!O14+'107'!O14+'112'!O14</f>
        <v>0</v>
      </c>
    </row>
    <row r="15" spans="1:15">
      <c r="A15" s="27"/>
      <c r="B15" s="24"/>
      <c r="C15" s="33">
        <f>Справочник!J1</f>
        <v>2019</v>
      </c>
      <c r="D15" s="24">
        <f ca="1">'101'!D15+'102'!D15+'103'!D15+'104'!D15+'105'!D15+'106'!D15+'107'!D15+'112'!D15</f>
        <v>1</v>
      </c>
      <c r="E15" s="24">
        <f ca="1">'101'!E15+'102'!E15+'103'!E15+'104'!E15+'105'!E15+'106'!E15+'107'!E15+'112'!E15</f>
        <v>0</v>
      </c>
      <c r="F15" s="24">
        <f ca="1">'101'!F15+'102'!F15+'103'!F15+'104'!F15+'105'!F15+'106'!F15+'107'!F15+'112'!F15</f>
        <v>0</v>
      </c>
      <c r="G15" s="24">
        <f ca="1">'101'!G15+'102'!G15+'103'!G15+'104'!G15+'105'!G15+'106'!G15+'107'!G15+'112'!G15</f>
        <v>0</v>
      </c>
      <c r="H15" s="24">
        <f ca="1">'101'!H15+'102'!H15+'103'!H15+'104'!H15+'105'!H15+'106'!H15+'107'!H15+'112'!H15</f>
        <v>0</v>
      </c>
      <c r="I15" s="24">
        <f ca="1">'101'!I15+'102'!I15+'103'!I15+'104'!I15+'105'!I15+'106'!I15+'107'!I15+'112'!I15</f>
        <v>0</v>
      </c>
      <c r="J15" s="24">
        <f ca="1">'101'!J15+'102'!J15+'103'!J15+'104'!J15+'105'!J15+'106'!J15+'107'!J15+'112'!J15</f>
        <v>0</v>
      </c>
      <c r="K15" s="24">
        <f ca="1">'101'!K15+'102'!K15+'103'!K15+'104'!K15+'105'!K15+'106'!K15+'107'!K15+'112'!K15</f>
        <v>0</v>
      </c>
      <c r="L15" s="24">
        <f ca="1">'101'!L15+'102'!L15+'103'!L15+'104'!L15+'105'!L15+'106'!L15+'107'!L15+'112'!L15</f>
        <v>0</v>
      </c>
      <c r="M15" s="24">
        <f ca="1">'101'!M15+'102'!M15+'103'!M15+'104'!M15+'105'!M15+'106'!M15+'107'!M15+'112'!M15</f>
        <v>0</v>
      </c>
      <c r="N15" s="24">
        <f ca="1">'101'!N15+'102'!N15+'103'!N15+'104'!N15+'105'!N15+'106'!N15+'107'!N15+'112'!N15</f>
        <v>0</v>
      </c>
      <c r="O15" s="24">
        <f ca="1">'101'!O15+'102'!O15+'103'!O15+'104'!O15+'105'!O15+'106'!O15+'107'!O15+'112'!O15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'101'!D16+'102'!D16+'103'!D16+'104'!D16+'105'!D16+'106'!D16+'107'!D16+'112'!D16</f>
        <v>666</v>
      </c>
      <c r="E16" s="24">
        <f ca="1">'101'!E16+'102'!E16+'103'!E16+'104'!E16+'105'!E16+'106'!E16+'107'!E16+'112'!E16</f>
        <v>0</v>
      </c>
      <c r="F16" s="24">
        <f ca="1">'101'!F16+'102'!F16+'103'!F16+'104'!F16+'105'!F16+'106'!F16+'107'!F16+'112'!F16</f>
        <v>0</v>
      </c>
      <c r="G16" s="24">
        <f ca="1">'101'!G16+'102'!G16+'103'!G16+'104'!G16+'105'!G16+'106'!G16+'107'!G16+'112'!G16</f>
        <v>0</v>
      </c>
      <c r="H16" s="24">
        <f ca="1">'101'!H16+'102'!H16+'103'!H16+'104'!H16+'105'!H16+'106'!H16+'107'!H16+'112'!H16</f>
        <v>0</v>
      </c>
      <c r="I16" s="24">
        <f ca="1">'101'!I16+'102'!I16+'103'!I16+'104'!I16+'105'!I16+'106'!I16+'107'!I16+'112'!I16</f>
        <v>0</v>
      </c>
      <c r="J16" s="24">
        <f ca="1">'101'!J16+'102'!J16+'103'!J16+'104'!J16+'105'!J16+'106'!J16+'107'!J16+'112'!J16</f>
        <v>0</v>
      </c>
      <c r="K16" s="24">
        <f ca="1">'101'!K16+'102'!K16+'103'!K16+'104'!K16+'105'!K16+'106'!K16+'107'!K16+'112'!K16</f>
        <v>0</v>
      </c>
      <c r="L16" s="24">
        <f ca="1">'101'!L16+'102'!L16+'103'!L16+'104'!L16+'105'!L16+'106'!L16+'107'!L16+'112'!L16</f>
        <v>0</v>
      </c>
      <c r="M16" s="24">
        <f ca="1">'101'!M16+'102'!M16+'103'!M16+'104'!M16+'105'!M16+'106'!M16+'107'!M16+'112'!M16</f>
        <v>0</v>
      </c>
      <c r="N16" s="24">
        <f ca="1">'101'!N16+'102'!N16+'103'!N16+'104'!N16+'105'!N16+'106'!N16+'107'!N16+'112'!N16</f>
        <v>0</v>
      </c>
      <c r="O16" s="24">
        <f ca="1">'101'!O16+'102'!O16+'103'!O16+'104'!O16+'105'!O16+'106'!O16+'107'!O16+'112'!O16</f>
        <v>0</v>
      </c>
    </row>
    <row r="17" spans="1:15">
      <c r="A17" s="25"/>
      <c r="B17" s="24"/>
      <c r="C17" s="33">
        <f>Справочник!J1</f>
        <v>2019</v>
      </c>
      <c r="D17" s="24">
        <f ca="1">'101'!D17+'102'!D17+'103'!D17+'104'!D17+'105'!D17+'106'!D17+'107'!D17+'112'!D17</f>
        <v>771</v>
      </c>
      <c r="E17" s="24">
        <f ca="1">'101'!E17+'102'!E17+'103'!E17+'104'!E17+'105'!E17+'106'!E17+'107'!E17+'112'!E17</f>
        <v>0</v>
      </c>
      <c r="F17" s="24">
        <f ca="1">'101'!F17+'102'!F17+'103'!F17+'104'!F17+'105'!F17+'106'!F17+'107'!F17+'112'!F17</f>
        <v>0</v>
      </c>
      <c r="G17" s="24">
        <f ca="1">'101'!G17+'102'!G17+'103'!G17+'104'!G17+'105'!G17+'106'!G17+'107'!G17+'112'!G17</f>
        <v>0</v>
      </c>
      <c r="H17" s="24">
        <f ca="1">'101'!H17+'102'!H17+'103'!H17+'104'!H17+'105'!H17+'106'!H17+'107'!H17+'112'!H17</f>
        <v>0</v>
      </c>
      <c r="I17" s="24">
        <f ca="1">'101'!I17+'102'!I17+'103'!I17+'104'!I17+'105'!I17+'106'!I17+'107'!I17+'112'!I17</f>
        <v>0</v>
      </c>
      <c r="J17" s="24">
        <f ca="1">'101'!J17+'102'!J17+'103'!J17+'104'!J17+'105'!J17+'106'!J17+'107'!J17+'112'!J17</f>
        <v>0</v>
      </c>
      <c r="K17" s="24">
        <f ca="1">'101'!K17+'102'!K17+'103'!K17+'104'!K17+'105'!K17+'106'!K17+'107'!K17+'112'!K17</f>
        <v>0</v>
      </c>
      <c r="L17" s="24">
        <f ca="1">'101'!L17+'102'!L17+'103'!L17+'104'!L17+'105'!L17+'106'!L17+'107'!L17+'112'!L17</f>
        <v>0</v>
      </c>
      <c r="M17" s="24">
        <f ca="1">'101'!M17+'102'!M17+'103'!M17+'104'!M17+'105'!M17+'106'!M17+'107'!M17+'112'!M17</f>
        <v>0</v>
      </c>
      <c r="N17" s="24">
        <f ca="1">'101'!N17+'102'!N17+'103'!N17+'104'!N17+'105'!N17+'106'!N17+'107'!N17+'112'!N17</f>
        <v>0</v>
      </c>
      <c r="O17" s="24">
        <f ca="1">'101'!O17+'102'!O17+'103'!O17+'104'!O17+'105'!O17+'106'!O17+'107'!O17+'112'!O17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'101'!D18+'102'!D18+'103'!D18+'104'!D18+'105'!D18+'106'!D18+'107'!D18+'112'!D18</f>
        <v>10</v>
      </c>
      <c r="E18" s="24">
        <f ca="1">'101'!E18+'102'!E18+'103'!E18+'104'!E18+'105'!E18+'106'!E18+'107'!E18+'112'!E18</f>
        <v>0</v>
      </c>
      <c r="F18" s="24">
        <f ca="1">'101'!F18+'102'!F18+'103'!F18+'104'!F18+'105'!F18+'106'!F18+'107'!F18+'112'!F18</f>
        <v>0</v>
      </c>
      <c r="G18" s="24">
        <f ca="1">'101'!G18+'102'!G18+'103'!G18+'104'!G18+'105'!G18+'106'!G18+'107'!G18+'112'!G18</f>
        <v>0</v>
      </c>
      <c r="H18" s="24">
        <f ca="1">'101'!H18+'102'!H18+'103'!H18+'104'!H18+'105'!H18+'106'!H18+'107'!H18+'112'!H18</f>
        <v>0</v>
      </c>
      <c r="I18" s="24">
        <f ca="1">'101'!I18+'102'!I18+'103'!I18+'104'!I18+'105'!I18+'106'!I18+'107'!I18+'112'!I18</f>
        <v>0</v>
      </c>
      <c r="J18" s="24">
        <f ca="1">'101'!J18+'102'!J18+'103'!J18+'104'!J18+'105'!J18+'106'!J18+'107'!J18+'112'!J18</f>
        <v>0</v>
      </c>
      <c r="K18" s="24">
        <f ca="1">'101'!K18+'102'!K18+'103'!K18+'104'!K18+'105'!K18+'106'!K18+'107'!K18+'112'!K18</f>
        <v>0</v>
      </c>
      <c r="L18" s="24">
        <f ca="1">'101'!L18+'102'!L18+'103'!L18+'104'!L18+'105'!L18+'106'!L18+'107'!L18+'112'!L18</f>
        <v>0</v>
      </c>
      <c r="M18" s="24">
        <f ca="1">'101'!M18+'102'!M18+'103'!M18+'104'!M18+'105'!M18+'106'!M18+'107'!M18+'112'!M18</f>
        <v>0</v>
      </c>
      <c r="N18" s="24">
        <f ca="1">'101'!N18+'102'!N18+'103'!N18+'104'!N18+'105'!N18+'106'!N18+'107'!N18+'112'!N18</f>
        <v>0</v>
      </c>
      <c r="O18" s="24">
        <f ca="1">'101'!O18+'102'!O18+'103'!O18+'104'!O18+'105'!O18+'106'!O18+'107'!O18+'112'!O18</f>
        <v>0</v>
      </c>
    </row>
    <row r="19" spans="1:15">
      <c r="A19" s="27"/>
      <c r="B19" s="24"/>
      <c r="C19" s="33">
        <f>Справочник!J1</f>
        <v>2019</v>
      </c>
      <c r="D19" s="24">
        <f ca="1">'101'!D19+'102'!D19+'103'!D19+'104'!D19+'105'!D19+'106'!D19+'107'!D19+'112'!D19</f>
        <v>21</v>
      </c>
      <c r="E19" s="24">
        <f ca="1">'101'!E19+'102'!E19+'103'!E19+'104'!E19+'105'!E19+'106'!E19+'107'!E19+'112'!E19</f>
        <v>0</v>
      </c>
      <c r="F19" s="24">
        <f ca="1">'101'!F19+'102'!F19+'103'!F19+'104'!F19+'105'!F19+'106'!F19+'107'!F19+'112'!F19</f>
        <v>0</v>
      </c>
      <c r="G19" s="24">
        <f ca="1">'101'!G19+'102'!G19+'103'!G19+'104'!G19+'105'!G19+'106'!G19+'107'!G19+'112'!G19</f>
        <v>0</v>
      </c>
      <c r="H19" s="24">
        <f ca="1">'101'!H19+'102'!H19+'103'!H19+'104'!H19+'105'!H19+'106'!H19+'107'!H19+'112'!H19</f>
        <v>0</v>
      </c>
      <c r="I19" s="24">
        <f ca="1">'101'!I19+'102'!I19+'103'!I19+'104'!I19+'105'!I19+'106'!I19+'107'!I19+'112'!I19</f>
        <v>0</v>
      </c>
      <c r="J19" s="24">
        <f ca="1">'101'!J19+'102'!J19+'103'!J19+'104'!J19+'105'!J19+'106'!J19+'107'!J19+'112'!J19</f>
        <v>0</v>
      </c>
      <c r="K19" s="24">
        <f ca="1">'101'!K19+'102'!K19+'103'!K19+'104'!K19+'105'!K19+'106'!K19+'107'!K19+'112'!K19</f>
        <v>0</v>
      </c>
      <c r="L19" s="24">
        <f ca="1">'101'!L19+'102'!L19+'103'!L19+'104'!L19+'105'!L19+'106'!L19+'107'!L19+'112'!L19</f>
        <v>0</v>
      </c>
      <c r="M19" s="24">
        <f ca="1">'101'!M19+'102'!M19+'103'!M19+'104'!M19+'105'!M19+'106'!M19+'107'!M19+'112'!M19</f>
        <v>0</v>
      </c>
      <c r="N19" s="24">
        <f ca="1">'101'!N19+'102'!N19+'103'!N19+'104'!N19+'105'!N19+'106'!N19+'107'!N19+'112'!N19</f>
        <v>0</v>
      </c>
      <c r="O19" s="24">
        <f ca="1">'101'!O19+'102'!O19+'103'!O19+'104'!O19+'105'!O19+'106'!O19+'107'!O19+'112'!O19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'101'!D20+'102'!D20+'103'!D20+'104'!D20+'105'!D20+'106'!D20+'107'!D20+'112'!D20</f>
        <v>41</v>
      </c>
      <c r="E20" s="24">
        <f ca="1">'101'!E20+'102'!E20+'103'!E20+'104'!E20+'105'!E20+'106'!E20+'107'!E20+'112'!E20</f>
        <v>0</v>
      </c>
      <c r="F20" s="24">
        <f ca="1">'101'!F20+'102'!F20+'103'!F20+'104'!F20+'105'!F20+'106'!F20+'107'!F20+'112'!F20</f>
        <v>0</v>
      </c>
      <c r="G20" s="24">
        <f ca="1">'101'!G20+'102'!G20+'103'!G20+'104'!G20+'105'!G20+'106'!G20+'107'!G20+'112'!G20</f>
        <v>0</v>
      </c>
      <c r="H20" s="24">
        <f ca="1">'101'!H20+'102'!H20+'103'!H20+'104'!H20+'105'!H20+'106'!H20+'107'!H20+'112'!H20</f>
        <v>0</v>
      </c>
      <c r="I20" s="24">
        <f ca="1">'101'!I20+'102'!I20+'103'!I20+'104'!I20+'105'!I20+'106'!I20+'107'!I20+'112'!I20</f>
        <v>0</v>
      </c>
      <c r="J20" s="24">
        <f ca="1">'101'!J20+'102'!J20+'103'!J20+'104'!J20+'105'!J20+'106'!J20+'107'!J20+'112'!J20</f>
        <v>0</v>
      </c>
      <c r="K20" s="24">
        <f ca="1">'101'!K20+'102'!K20+'103'!K20+'104'!K20+'105'!K20+'106'!K20+'107'!K20+'112'!K20</f>
        <v>0</v>
      </c>
      <c r="L20" s="24">
        <f ca="1">'101'!L20+'102'!L20+'103'!L20+'104'!L20+'105'!L20+'106'!L20+'107'!L20+'112'!L20</f>
        <v>0</v>
      </c>
      <c r="M20" s="24">
        <f ca="1">'101'!M20+'102'!M20+'103'!M20+'104'!M20+'105'!M20+'106'!M20+'107'!M20+'112'!M20</f>
        <v>0</v>
      </c>
      <c r="N20" s="24">
        <f ca="1">'101'!N20+'102'!N20+'103'!N20+'104'!N20+'105'!N20+'106'!N20+'107'!N20+'112'!N20</f>
        <v>0</v>
      </c>
      <c r="O20" s="24">
        <f ca="1">'101'!O20+'102'!O20+'103'!O20+'104'!O20+'105'!O20+'106'!O20+'107'!O20+'112'!O20</f>
        <v>0</v>
      </c>
    </row>
    <row r="21" spans="1:15">
      <c r="A21" s="25"/>
      <c r="B21" s="24"/>
      <c r="C21" s="33">
        <f>Справочник!J1</f>
        <v>2019</v>
      </c>
      <c r="D21" s="24">
        <f ca="1">'101'!D21+'102'!D21+'103'!D21+'104'!D21+'105'!D21+'106'!D21+'107'!D21+'112'!D21</f>
        <v>47</v>
      </c>
      <c r="E21" s="24">
        <f ca="1">'101'!E21+'102'!E21+'103'!E21+'104'!E21+'105'!E21+'106'!E21+'107'!E21+'112'!E21</f>
        <v>0</v>
      </c>
      <c r="F21" s="24">
        <f ca="1">'101'!F21+'102'!F21+'103'!F21+'104'!F21+'105'!F21+'106'!F21+'107'!F21+'112'!F21</f>
        <v>0</v>
      </c>
      <c r="G21" s="24">
        <f ca="1">'101'!G21+'102'!G21+'103'!G21+'104'!G21+'105'!G21+'106'!G21+'107'!G21+'112'!G21</f>
        <v>0</v>
      </c>
      <c r="H21" s="24">
        <f ca="1">'101'!H21+'102'!H21+'103'!H21+'104'!H21+'105'!H21+'106'!H21+'107'!H21+'112'!H21</f>
        <v>0</v>
      </c>
      <c r="I21" s="24">
        <f ca="1">'101'!I21+'102'!I21+'103'!I21+'104'!I21+'105'!I21+'106'!I21+'107'!I21+'112'!I21</f>
        <v>0</v>
      </c>
      <c r="J21" s="24">
        <f ca="1">'101'!J21+'102'!J21+'103'!J21+'104'!J21+'105'!J21+'106'!J21+'107'!J21+'112'!J21</f>
        <v>0</v>
      </c>
      <c r="K21" s="24">
        <f ca="1">'101'!K21+'102'!K21+'103'!K21+'104'!K21+'105'!K21+'106'!K21+'107'!K21+'112'!K21</f>
        <v>0</v>
      </c>
      <c r="L21" s="24">
        <f ca="1">'101'!L21+'102'!L21+'103'!L21+'104'!L21+'105'!L21+'106'!L21+'107'!L21+'112'!L21</f>
        <v>0</v>
      </c>
      <c r="M21" s="24">
        <f ca="1">'101'!M21+'102'!M21+'103'!M21+'104'!M21+'105'!M21+'106'!M21+'107'!M21+'112'!M21</f>
        <v>0</v>
      </c>
      <c r="N21" s="24">
        <f ca="1">'101'!N21+'102'!N21+'103'!N21+'104'!N21+'105'!N21+'106'!N21+'107'!N21+'112'!N21</f>
        <v>0</v>
      </c>
      <c r="O21" s="24">
        <f ca="1">'101'!O21+'102'!O21+'103'!O21+'104'!O21+'105'!O21+'106'!O21+'107'!O21+'112'!O21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'101'!D22+'102'!D22+'103'!D22+'104'!D22+'105'!D22+'106'!D22+'107'!D22+'112'!D22</f>
        <v>8</v>
      </c>
      <c r="E22" s="24">
        <f ca="1">'101'!E22+'102'!E22+'103'!E22+'104'!E22+'105'!E22+'106'!E22+'107'!E22+'112'!E22</f>
        <v>0</v>
      </c>
      <c r="F22" s="24">
        <f ca="1">'101'!F22+'102'!F22+'103'!F22+'104'!F22+'105'!F22+'106'!F22+'107'!F22+'112'!F22</f>
        <v>0</v>
      </c>
      <c r="G22" s="24">
        <f ca="1">'101'!G22+'102'!G22+'103'!G22+'104'!G22+'105'!G22+'106'!G22+'107'!G22+'112'!G22</f>
        <v>0</v>
      </c>
      <c r="H22" s="24">
        <f ca="1">'101'!H22+'102'!H22+'103'!H22+'104'!H22+'105'!H22+'106'!H22+'107'!H22+'112'!H22</f>
        <v>0</v>
      </c>
      <c r="I22" s="24">
        <f ca="1">'101'!I22+'102'!I22+'103'!I22+'104'!I22+'105'!I22+'106'!I22+'107'!I22+'112'!I22</f>
        <v>0</v>
      </c>
      <c r="J22" s="24">
        <f ca="1">'101'!J22+'102'!J22+'103'!J22+'104'!J22+'105'!J22+'106'!J22+'107'!J22+'112'!J22</f>
        <v>0</v>
      </c>
      <c r="K22" s="24">
        <f ca="1">'101'!K22+'102'!K22+'103'!K22+'104'!K22+'105'!K22+'106'!K22+'107'!K22+'112'!K22</f>
        <v>0</v>
      </c>
      <c r="L22" s="24">
        <f ca="1">'101'!L22+'102'!L22+'103'!L22+'104'!L22+'105'!L22+'106'!L22+'107'!L22+'112'!L22</f>
        <v>0</v>
      </c>
      <c r="M22" s="24">
        <f ca="1">'101'!M22+'102'!M22+'103'!M22+'104'!M22+'105'!M22+'106'!M22+'107'!M22+'112'!M22</f>
        <v>0</v>
      </c>
      <c r="N22" s="24">
        <f ca="1">'101'!N22+'102'!N22+'103'!N22+'104'!N22+'105'!N22+'106'!N22+'107'!N22+'112'!N22</f>
        <v>0</v>
      </c>
      <c r="O22" s="24">
        <f ca="1">'101'!O22+'102'!O22+'103'!O22+'104'!O22+'105'!O22+'106'!O22+'107'!O22+'112'!O22</f>
        <v>0</v>
      </c>
    </row>
    <row r="23" spans="1:15">
      <c r="A23" s="27"/>
      <c r="B23" s="24"/>
      <c r="C23" s="33">
        <f>Справочник!J1</f>
        <v>2019</v>
      </c>
      <c r="D23" s="24">
        <f ca="1">'101'!D23+'102'!D23+'103'!D23+'104'!D23+'105'!D23+'106'!D23+'107'!D23+'112'!D23</f>
        <v>8</v>
      </c>
      <c r="E23" s="24">
        <f ca="1">'101'!E23+'102'!E23+'103'!E23+'104'!E23+'105'!E23+'106'!E23+'107'!E23+'112'!E23</f>
        <v>0</v>
      </c>
      <c r="F23" s="24">
        <f ca="1">'101'!F23+'102'!F23+'103'!F23+'104'!F23+'105'!F23+'106'!F23+'107'!F23+'112'!F23</f>
        <v>0</v>
      </c>
      <c r="G23" s="24">
        <f ca="1">'101'!G23+'102'!G23+'103'!G23+'104'!G23+'105'!G23+'106'!G23+'107'!G23+'112'!G23</f>
        <v>0</v>
      </c>
      <c r="H23" s="24">
        <f ca="1">'101'!H23+'102'!H23+'103'!H23+'104'!H23+'105'!H23+'106'!H23+'107'!H23+'112'!H23</f>
        <v>0</v>
      </c>
      <c r="I23" s="24">
        <f ca="1">'101'!I23+'102'!I23+'103'!I23+'104'!I23+'105'!I23+'106'!I23+'107'!I23+'112'!I23</f>
        <v>0</v>
      </c>
      <c r="J23" s="24">
        <f ca="1">'101'!J23+'102'!J23+'103'!J23+'104'!J23+'105'!J23+'106'!J23+'107'!J23+'112'!J23</f>
        <v>0</v>
      </c>
      <c r="K23" s="24">
        <f ca="1">'101'!K23+'102'!K23+'103'!K23+'104'!K23+'105'!K23+'106'!K23+'107'!K23+'112'!K23</f>
        <v>0</v>
      </c>
      <c r="L23" s="24">
        <f ca="1">'101'!L23+'102'!L23+'103'!L23+'104'!L23+'105'!L23+'106'!L23+'107'!L23+'112'!L23</f>
        <v>0</v>
      </c>
      <c r="M23" s="24">
        <f ca="1">'101'!M23+'102'!M23+'103'!M23+'104'!M23+'105'!M23+'106'!M23+'107'!M23+'112'!M23</f>
        <v>0</v>
      </c>
      <c r="N23" s="24">
        <f ca="1">'101'!N23+'102'!N23+'103'!N23+'104'!N23+'105'!N23+'106'!N23+'107'!N23+'112'!N23</f>
        <v>0</v>
      </c>
      <c r="O23" s="24">
        <f ca="1">'101'!O23+'102'!O23+'103'!O23+'104'!O23+'105'!O23+'106'!O23+'107'!O23+'112'!O23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'101'!D24+'102'!D24+'103'!D24+'104'!D24+'105'!D24+'106'!D24+'107'!D24+'112'!D24</f>
        <v>2</v>
      </c>
      <c r="E24" s="24">
        <f ca="1">'101'!E24+'102'!E24+'103'!E24+'104'!E24+'105'!E24+'106'!E24+'107'!E24+'112'!E24</f>
        <v>0</v>
      </c>
      <c r="F24" s="24">
        <f ca="1">'101'!F24+'102'!F24+'103'!F24+'104'!F24+'105'!F24+'106'!F24+'107'!F24+'112'!F24</f>
        <v>0</v>
      </c>
      <c r="G24" s="24">
        <f ca="1">'101'!G24+'102'!G24+'103'!G24+'104'!G24+'105'!G24+'106'!G24+'107'!G24+'112'!G24</f>
        <v>0</v>
      </c>
      <c r="H24" s="24">
        <f ca="1">'101'!H24+'102'!H24+'103'!H24+'104'!H24+'105'!H24+'106'!H24+'107'!H24+'112'!H24</f>
        <v>0</v>
      </c>
      <c r="I24" s="24">
        <f ca="1">'101'!I24+'102'!I24+'103'!I24+'104'!I24+'105'!I24+'106'!I24+'107'!I24+'112'!I24</f>
        <v>0</v>
      </c>
      <c r="J24" s="24">
        <f ca="1">'101'!J24+'102'!J24+'103'!J24+'104'!J24+'105'!J24+'106'!J24+'107'!J24+'112'!J24</f>
        <v>0</v>
      </c>
      <c r="K24" s="24">
        <f ca="1">'101'!K24+'102'!K24+'103'!K24+'104'!K24+'105'!K24+'106'!K24+'107'!K24+'112'!K24</f>
        <v>0</v>
      </c>
      <c r="L24" s="24">
        <f ca="1">'101'!L24+'102'!L24+'103'!L24+'104'!L24+'105'!L24+'106'!L24+'107'!L24+'112'!L24</f>
        <v>0</v>
      </c>
      <c r="M24" s="24">
        <f ca="1">'101'!M24+'102'!M24+'103'!M24+'104'!M24+'105'!M24+'106'!M24+'107'!M24+'112'!M24</f>
        <v>0</v>
      </c>
      <c r="N24" s="24">
        <f ca="1">'101'!N24+'102'!N24+'103'!N24+'104'!N24+'105'!N24+'106'!N24+'107'!N24+'112'!N24</f>
        <v>0</v>
      </c>
      <c r="O24" s="24">
        <f ca="1">'101'!O24+'102'!O24+'103'!O24+'104'!O24+'105'!O24+'106'!O24+'107'!O24+'112'!O24</f>
        <v>0</v>
      </c>
    </row>
    <row r="25" spans="1:15">
      <c r="A25" s="25"/>
      <c r="B25" s="24"/>
      <c r="C25" s="33">
        <f>Справочник!J1</f>
        <v>2019</v>
      </c>
      <c r="D25" s="24">
        <f ca="1">'101'!D25+'102'!D25+'103'!D25+'104'!D25+'105'!D25+'106'!D25+'107'!D25+'112'!D25</f>
        <v>0</v>
      </c>
      <c r="E25" s="24">
        <f ca="1">'101'!E25+'102'!E25+'103'!E25+'104'!E25+'105'!E25+'106'!E25+'107'!E25+'112'!E25</f>
        <v>0</v>
      </c>
      <c r="F25" s="24">
        <f ca="1">'101'!F25+'102'!F25+'103'!F25+'104'!F25+'105'!F25+'106'!F25+'107'!F25+'112'!F25</f>
        <v>0</v>
      </c>
      <c r="G25" s="24">
        <f ca="1">'101'!G25+'102'!G25+'103'!G25+'104'!G25+'105'!G25+'106'!G25+'107'!G25+'112'!G25</f>
        <v>0</v>
      </c>
      <c r="H25" s="24">
        <f ca="1">'101'!H25+'102'!H25+'103'!H25+'104'!H25+'105'!H25+'106'!H25+'107'!H25+'112'!H25</f>
        <v>0</v>
      </c>
      <c r="I25" s="24">
        <f ca="1">'101'!I25+'102'!I25+'103'!I25+'104'!I25+'105'!I25+'106'!I25+'107'!I25+'112'!I25</f>
        <v>0</v>
      </c>
      <c r="J25" s="24">
        <f ca="1">'101'!J25+'102'!J25+'103'!J25+'104'!J25+'105'!J25+'106'!J25+'107'!J25+'112'!J25</f>
        <v>0</v>
      </c>
      <c r="K25" s="24">
        <f ca="1">'101'!K25+'102'!K25+'103'!K25+'104'!K25+'105'!K25+'106'!K25+'107'!K25+'112'!K25</f>
        <v>0</v>
      </c>
      <c r="L25" s="24">
        <f ca="1">'101'!L25+'102'!L25+'103'!L25+'104'!L25+'105'!L25+'106'!L25+'107'!L25+'112'!L25</f>
        <v>0</v>
      </c>
      <c r="M25" s="24">
        <f ca="1">'101'!M25+'102'!M25+'103'!M25+'104'!M25+'105'!M25+'106'!M25+'107'!M25+'112'!M25</f>
        <v>0</v>
      </c>
      <c r="N25" s="24">
        <f ca="1">'101'!N25+'102'!N25+'103'!N25+'104'!N25+'105'!N25+'106'!N25+'107'!N25+'112'!N25</f>
        <v>0</v>
      </c>
      <c r="O25" s="24">
        <f ca="1">'101'!O25+'102'!O25+'103'!O25+'104'!O25+'105'!O25+'106'!O25+'107'!O25+'112'!O25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'101'!D26+'102'!D26+'103'!D26+'104'!D26+'105'!D26+'106'!D26+'107'!D26+'112'!D26</f>
        <v>0</v>
      </c>
      <c r="E26" s="24">
        <f ca="1">'101'!E26+'102'!E26+'103'!E26+'104'!E26+'105'!E26+'106'!E26+'107'!E26+'112'!E26</f>
        <v>0</v>
      </c>
      <c r="F26" s="24">
        <f ca="1">'101'!F26+'102'!F26+'103'!F26+'104'!F26+'105'!F26+'106'!F26+'107'!F26+'112'!F26</f>
        <v>0</v>
      </c>
      <c r="G26" s="24">
        <f ca="1">'101'!G26+'102'!G26+'103'!G26+'104'!G26+'105'!G26+'106'!G26+'107'!G26+'112'!G26</f>
        <v>0</v>
      </c>
      <c r="H26" s="24">
        <f ca="1">'101'!H26+'102'!H26+'103'!H26+'104'!H26+'105'!H26+'106'!H26+'107'!H26+'112'!H26</f>
        <v>0</v>
      </c>
      <c r="I26" s="24">
        <f ca="1">'101'!I26+'102'!I26+'103'!I26+'104'!I26+'105'!I26+'106'!I26+'107'!I26+'112'!I26</f>
        <v>0</v>
      </c>
      <c r="J26" s="24">
        <f ca="1">'101'!J26+'102'!J26+'103'!J26+'104'!J26+'105'!J26+'106'!J26+'107'!J26+'112'!J26</f>
        <v>0</v>
      </c>
      <c r="K26" s="24">
        <f ca="1">'101'!K26+'102'!K26+'103'!K26+'104'!K26+'105'!K26+'106'!K26+'107'!K26+'112'!K26</f>
        <v>0</v>
      </c>
      <c r="L26" s="24">
        <f ca="1">'101'!L26+'102'!L26+'103'!L26+'104'!L26+'105'!L26+'106'!L26+'107'!L26+'112'!L26</f>
        <v>0</v>
      </c>
      <c r="M26" s="24">
        <f ca="1">'101'!M26+'102'!M26+'103'!M26+'104'!M26+'105'!M26+'106'!M26+'107'!M26+'112'!M26</f>
        <v>0</v>
      </c>
      <c r="N26" s="24">
        <f ca="1">'101'!N26+'102'!N26+'103'!N26+'104'!N26+'105'!N26+'106'!N26+'107'!N26+'112'!N26</f>
        <v>0</v>
      </c>
      <c r="O26" s="24">
        <f ca="1">'101'!O26+'102'!O26+'103'!O26+'104'!O26+'105'!O26+'106'!O26+'107'!O26+'112'!O26</f>
        <v>0</v>
      </c>
    </row>
    <row r="27" spans="1:15">
      <c r="A27" s="29"/>
      <c r="B27" s="24"/>
      <c r="C27" s="33">
        <f>Справочник!J1</f>
        <v>2019</v>
      </c>
      <c r="D27" s="24">
        <f ca="1">'101'!D27+'102'!D27+'103'!D27+'104'!D27+'105'!D27+'106'!D27+'107'!D27+'112'!D27</f>
        <v>3</v>
      </c>
      <c r="E27" s="24">
        <f ca="1">'101'!E27+'102'!E27+'103'!E27+'104'!E27+'105'!E27+'106'!E27+'107'!E27+'112'!E27</f>
        <v>0</v>
      </c>
      <c r="F27" s="24">
        <f ca="1">'101'!F27+'102'!F27+'103'!F27+'104'!F27+'105'!F27+'106'!F27+'107'!F27+'112'!F27</f>
        <v>0</v>
      </c>
      <c r="G27" s="24">
        <f ca="1">'101'!G27+'102'!G27+'103'!G27+'104'!G27+'105'!G27+'106'!G27+'107'!G27+'112'!G27</f>
        <v>0</v>
      </c>
      <c r="H27" s="24">
        <f ca="1">'101'!H27+'102'!H27+'103'!H27+'104'!H27+'105'!H27+'106'!H27+'107'!H27+'112'!H27</f>
        <v>0</v>
      </c>
      <c r="I27" s="24">
        <f ca="1">'101'!I27+'102'!I27+'103'!I27+'104'!I27+'105'!I27+'106'!I27+'107'!I27+'112'!I27</f>
        <v>0</v>
      </c>
      <c r="J27" s="24">
        <f ca="1">'101'!J27+'102'!J27+'103'!J27+'104'!J27+'105'!J27+'106'!J27+'107'!J27+'112'!J27</f>
        <v>0</v>
      </c>
      <c r="K27" s="24">
        <f ca="1">'101'!K27+'102'!K27+'103'!K27+'104'!K27+'105'!K27+'106'!K27+'107'!K27+'112'!K27</f>
        <v>0</v>
      </c>
      <c r="L27" s="24">
        <f ca="1">'101'!L27+'102'!L27+'103'!L27+'104'!L27+'105'!L27+'106'!L27+'107'!L27+'112'!L27</f>
        <v>0</v>
      </c>
      <c r="M27" s="24">
        <f ca="1">'101'!M27+'102'!M27+'103'!M27+'104'!M27+'105'!M27+'106'!M27+'107'!M27+'112'!M27</f>
        <v>0</v>
      </c>
      <c r="N27" s="24">
        <f ca="1">'101'!N27+'102'!N27+'103'!N27+'104'!N27+'105'!N27+'106'!N27+'107'!N27+'112'!N27</f>
        <v>0</v>
      </c>
      <c r="O27" s="24">
        <f ca="1">'101'!O27+'102'!O27+'103'!O27+'104'!O27+'105'!O27+'106'!O27+'107'!O27+'112'!O27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'101'!D28+'102'!D28+'103'!D28+'104'!D28+'105'!D28+'106'!D28+'107'!D28+'112'!D28</f>
        <v>185</v>
      </c>
      <c r="E28" s="24">
        <f ca="1">'101'!E28+'102'!E28+'103'!E28+'104'!E28+'105'!E28+'106'!E28+'107'!E28+'112'!E28</f>
        <v>0</v>
      </c>
      <c r="F28" s="24">
        <f ca="1">'101'!F28+'102'!F28+'103'!F28+'104'!F28+'105'!F28+'106'!F28+'107'!F28+'112'!F28</f>
        <v>0</v>
      </c>
      <c r="G28" s="24">
        <f ca="1">'101'!G28+'102'!G28+'103'!G28+'104'!G28+'105'!G28+'106'!G28+'107'!G28+'112'!G28</f>
        <v>0</v>
      </c>
      <c r="H28" s="24">
        <f ca="1">'101'!H28+'102'!H28+'103'!H28+'104'!H28+'105'!H28+'106'!H28+'107'!H28+'112'!H28</f>
        <v>0</v>
      </c>
      <c r="I28" s="24">
        <f ca="1">'101'!I28+'102'!I28+'103'!I28+'104'!I28+'105'!I28+'106'!I28+'107'!I28+'112'!I28</f>
        <v>0</v>
      </c>
      <c r="J28" s="24">
        <f ca="1">'101'!J28+'102'!J28+'103'!J28+'104'!J28+'105'!J28+'106'!J28+'107'!J28+'112'!J28</f>
        <v>0</v>
      </c>
      <c r="K28" s="24">
        <f ca="1">'101'!K28+'102'!K28+'103'!K28+'104'!K28+'105'!K28+'106'!K28+'107'!K28+'112'!K28</f>
        <v>0</v>
      </c>
      <c r="L28" s="24">
        <f ca="1">'101'!L28+'102'!L28+'103'!L28+'104'!L28+'105'!L28+'106'!L28+'107'!L28+'112'!L28</f>
        <v>0</v>
      </c>
      <c r="M28" s="24">
        <f ca="1">'101'!M28+'102'!M28+'103'!M28+'104'!M28+'105'!M28+'106'!M28+'107'!M28+'112'!M28</f>
        <v>0</v>
      </c>
      <c r="N28" s="24">
        <f ca="1">'101'!N28+'102'!N28+'103'!N28+'104'!N28+'105'!N28+'106'!N28+'107'!N28+'112'!N28</f>
        <v>0</v>
      </c>
      <c r="O28" s="24">
        <f ca="1">'101'!O28+'102'!O28+'103'!O28+'104'!O28+'105'!O28+'106'!O28+'107'!O28+'112'!O28</f>
        <v>0</v>
      </c>
    </row>
    <row r="29" spans="1:15">
      <c r="A29" s="28"/>
      <c r="B29" s="24"/>
      <c r="C29" s="33">
        <f>Справочник!J1</f>
        <v>2019</v>
      </c>
      <c r="D29" s="24">
        <f ca="1">'101'!D29+'102'!D29+'103'!D29+'104'!D29+'105'!D29+'106'!D29+'107'!D29+'112'!D29</f>
        <v>151</v>
      </c>
      <c r="E29" s="24">
        <f ca="1">'101'!E29+'102'!E29+'103'!E29+'104'!E29+'105'!E29+'106'!E29+'107'!E29+'112'!E29</f>
        <v>0</v>
      </c>
      <c r="F29" s="24">
        <f ca="1">'101'!F29+'102'!F29+'103'!F29+'104'!F29+'105'!F29+'106'!F29+'107'!F29+'112'!F29</f>
        <v>0</v>
      </c>
      <c r="G29" s="24">
        <f ca="1">'101'!G29+'102'!G29+'103'!G29+'104'!G29+'105'!G29+'106'!G29+'107'!G29+'112'!G29</f>
        <v>0</v>
      </c>
      <c r="H29" s="24">
        <f ca="1">'101'!H29+'102'!H29+'103'!H29+'104'!H29+'105'!H29+'106'!H29+'107'!H29+'112'!H29</f>
        <v>0</v>
      </c>
      <c r="I29" s="24">
        <f ca="1">'101'!I29+'102'!I29+'103'!I29+'104'!I29+'105'!I29+'106'!I29+'107'!I29+'112'!I29</f>
        <v>0</v>
      </c>
      <c r="J29" s="24">
        <f ca="1">'101'!J29+'102'!J29+'103'!J29+'104'!J29+'105'!J29+'106'!J29+'107'!J29+'112'!J29</f>
        <v>0</v>
      </c>
      <c r="K29" s="24">
        <f ca="1">'101'!K29+'102'!K29+'103'!K29+'104'!K29+'105'!K29+'106'!K29+'107'!K29+'112'!K29</f>
        <v>0</v>
      </c>
      <c r="L29" s="24">
        <f ca="1">'101'!L29+'102'!L29+'103'!L29+'104'!L29+'105'!L29+'106'!L29+'107'!L29+'112'!L29</f>
        <v>0</v>
      </c>
      <c r="M29" s="24">
        <f ca="1">'101'!M29+'102'!M29+'103'!M29+'104'!M29+'105'!M29+'106'!M29+'107'!M29+'112'!M29</f>
        <v>0</v>
      </c>
      <c r="N29" s="24">
        <f ca="1">'101'!N29+'102'!N29+'103'!N29+'104'!N29+'105'!N29+'106'!N29+'107'!N29+'112'!N29</f>
        <v>0</v>
      </c>
      <c r="O29" s="24">
        <f ca="1">'101'!O29+'102'!O29+'103'!O29+'104'!O29+'105'!O29+'106'!O29+'107'!O29+'112'!O29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'101'!D30+'102'!D30+'103'!D30+'104'!D30+'105'!D30+'106'!D30+'107'!D30+'112'!D30</f>
        <v>6</v>
      </c>
      <c r="E30" s="24">
        <f ca="1">'101'!E30+'102'!E30+'103'!E30+'104'!E30+'105'!E30+'106'!E30+'107'!E30+'112'!E30</f>
        <v>0</v>
      </c>
      <c r="F30" s="24">
        <f ca="1">'101'!F30+'102'!F30+'103'!F30+'104'!F30+'105'!F30+'106'!F30+'107'!F30+'112'!F30</f>
        <v>0</v>
      </c>
      <c r="G30" s="24">
        <f ca="1">'101'!G30+'102'!G30+'103'!G30+'104'!G30+'105'!G30+'106'!G30+'107'!G30+'112'!G30</f>
        <v>0</v>
      </c>
      <c r="H30" s="24">
        <f ca="1">'101'!H30+'102'!H30+'103'!H30+'104'!H30+'105'!H30+'106'!H30+'107'!H30+'112'!H30</f>
        <v>0</v>
      </c>
      <c r="I30" s="24">
        <f ca="1">'101'!I30+'102'!I30+'103'!I30+'104'!I30+'105'!I30+'106'!I30+'107'!I30+'112'!I30</f>
        <v>0</v>
      </c>
      <c r="J30" s="24">
        <f ca="1">'101'!J30+'102'!J30+'103'!J30+'104'!J30+'105'!J30+'106'!J30+'107'!J30+'112'!J30</f>
        <v>0</v>
      </c>
      <c r="K30" s="24">
        <f ca="1">'101'!K30+'102'!K30+'103'!K30+'104'!K30+'105'!K30+'106'!K30+'107'!K30+'112'!K30</f>
        <v>0</v>
      </c>
      <c r="L30" s="24">
        <f ca="1">'101'!L30+'102'!L30+'103'!L30+'104'!L30+'105'!L30+'106'!L30+'107'!L30+'112'!L30</f>
        <v>0</v>
      </c>
      <c r="M30" s="24">
        <f ca="1">'101'!M30+'102'!M30+'103'!M30+'104'!M30+'105'!M30+'106'!M30+'107'!M30+'112'!M30</f>
        <v>0</v>
      </c>
      <c r="N30" s="24">
        <f ca="1">'101'!N30+'102'!N30+'103'!N30+'104'!N30+'105'!N30+'106'!N30+'107'!N30+'112'!N30</f>
        <v>0</v>
      </c>
      <c r="O30" s="24">
        <f ca="1">'101'!O30+'102'!O30+'103'!O30+'104'!O30+'105'!O30+'106'!O30+'107'!O30+'112'!O30</f>
        <v>0</v>
      </c>
    </row>
    <row r="31" spans="1:15">
      <c r="A31" s="27"/>
      <c r="B31" s="24"/>
      <c r="C31" s="33">
        <f>Справочник!J1</f>
        <v>2019</v>
      </c>
      <c r="D31" s="24">
        <f ca="1">'101'!D31+'102'!D31+'103'!D31+'104'!D31+'105'!D31+'106'!D31+'107'!D31+'112'!D31</f>
        <v>6</v>
      </c>
      <c r="E31" s="24">
        <f ca="1">'101'!E31+'102'!E31+'103'!E31+'104'!E31+'105'!E31+'106'!E31+'107'!E31+'112'!E31</f>
        <v>0</v>
      </c>
      <c r="F31" s="24">
        <f ca="1">'101'!F31+'102'!F31+'103'!F31+'104'!F31+'105'!F31+'106'!F31+'107'!F31+'112'!F31</f>
        <v>0</v>
      </c>
      <c r="G31" s="24">
        <f ca="1">'101'!G31+'102'!G31+'103'!G31+'104'!G31+'105'!G31+'106'!G31+'107'!G31+'112'!G31</f>
        <v>0</v>
      </c>
      <c r="H31" s="24">
        <f ca="1">'101'!H31+'102'!H31+'103'!H31+'104'!H31+'105'!H31+'106'!H31+'107'!H31+'112'!H31</f>
        <v>0</v>
      </c>
      <c r="I31" s="24">
        <f ca="1">'101'!I31+'102'!I31+'103'!I31+'104'!I31+'105'!I31+'106'!I31+'107'!I31+'112'!I31</f>
        <v>0</v>
      </c>
      <c r="J31" s="24">
        <f ca="1">'101'!J31+'102'!J31+'103'!J31+'104'!J31+'105'!J31+'106'!J31+'107'!J31+'112'!J31</f>
        <v>0</v>
      </c>
      <c r="K31" s="24">
        <f ca="1">'101'!K31+'102'!K31+'103'!K31+'104'!K31+'105'!K31+'106'!K31+'107'!K31+'112'!K31</f>
        <v>0</v>
      </c>
      <c r="L31" s="24">
        <f ca="1">'101'!L31+'102'!L31+'103'!L31+'104'!L31+'105'!L31+'106'!L31+'107'!L31+'112'!L31</f>
        <v>0</v>
      </c>
      <c r="M31" s="24">
        <f ca="1">'101'!M31+'102'!M31+'103'!M31+'104'!M31+'105'!M31+'106'!M31+'107'!M31+'112'!M31</f>
        <v>0</v>
      </c>
      <c r="N31" s="24">
        <f ca="1">'101'!N31+'102'!N31+'103'!N31+'104'!N31+'105'!N31+'106'!N31+'107'!N31+'112'!N31</f>
        <v>0</v>
      </c>
      <c r="O31" s="24">
        <f ca="1">'101'!O31+'102'!O31+'103'!O31+'104'!O31+'105'!O31+'106'!O31+'107'!O31+'112'!O31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'101'!D32+'102'!D32+'103'!D32+'104'!D32+'105'!D32+'106'!D32+'107'!D32+'112'!D32</f>
        <v>1</v>
      </c>
      <c r="E32" s="24">
        <f ca="1">'101'!E32+'102'!E32+'103'!E32+'104'!E32+'105'!E32+'106'!E32+'107'!E32+'112'!E32</f>
        <v>0</v>
      </c>
      <c r="F32" s="24">
        <f ca="1">'101'!F32+'102'!F32+'103'!F32+'104'!F32+'105'!F32+'106'!F32+'107'!F32+'112'!F32</f>
        <v>0</v>
      </c>
      <c r="G32" s="24">
        <f ca="1">'101'!G32+'102'!G32+'103'!G32+'104'!G32+'105'!G32+'106'!G32+'107'!G32+'112'!G32</f>
        <v>0</v>
      </c>
      <c r="H32" s="24">
        <f ca="1">'101'!H32+'102'!H32+'103'!H32+'104'!H32+'105'!H32+'106'!H32+'107'!H32+'112'!H32</f>
        <v>0</v>
      </c>
      <c r="I32" s="24">
        <f ca="1">'101'!I32+'102'!I32+'103'!I32+'104'!I32+'105'!I32+'106'!I32+'107'!I32+'112'!I32</f>
        <v>0</v>
      </c>
      <c r="J32" s="24">
        <f ca="1">'101'!J32+'102'!J32+'103'!J32+'104'!J32+'105'!J32+'106'!J32+'107'!J32+'112'!J32</f>
        <v>0</v>
      </c>
      <c r="K32" s="24">
        <f ca="1">'101'!K32+'102'!K32+'103'!K32+'104'!K32+'105'!K32+'106'!K32+'107'!K32+'112'!K32</f>
        <v>0</v>
      </c>
      <c r="L32" s="24">
        <f ca="1">'101'!L32+'102'!L32+'103'!L32+'104'!L32+'105'!L32+'106'!L32+'107'!L32+'112'!L32</f>
        <v>0</v>
      </c>
      <c r="M32" s="24">
        <f ca="1">'101'!M32+'102'!M32+'103'!M32+'104'!M32+'105'!M32+'106'!M32+'107'!M32+'112'!M32</f>
        <v>0</v>
      </c>
      <c r="N32" s="24">
        <f ca="1">'101'!N32+'102'!N32+'103'!N32+'104'!N32+'105'!N32+'106'!N32+'107'!N32+'112'!N32</f>
        <v>0</v>
      </c>
      <c r="O32" s="24">
        <f ca="1">'101'!O32+'102'!O32+'103'!O32+'104'!O32+'105'!O32+'106'!O32+'107'!O32+'112'!O32</f>
        <v>0</v>
      </c>
    </row>
    <row r="33" spans="1:15">
      <c r="A33" s="25"/>
      <c r="B33" s="24"/>
      <c r="C33" s="33">
        <f>Справочник!J1</f>
        <v>2019</v>
      </c>
      <c r="D33" s="24">
        <f ca="1">'101'!D33+'102'!D33+'103'!D33+'104'!D33+'105'!D33+'106'!D33+'107'!D33+'112'!D33</f>
        <v>2</v>
      </c>
      <c r="E33" s="24">
        <f ca="1">'101'!E33+'102'!E33+'103'!E33+'104'!E33+'105'!E33+'106'!E33+'107'!E33+'112'!E33</f>
        <v>0</v>
      </c>
      <c r="F33" s="24">
        <f ca="1">'101'!F33+'102'!F33+'103'!F33+'104'!F33+'105'!F33+'106'!F33+'107'!F33+'112'!F33</f>
        <v>0</v>
      </c>
      <c r="G33" s="24">
        <f ca="1">'101'!G33+'102'!G33+'103'!G33+'104'!G33+'105'!G33+'106'!G33+'107'!G33+'112'!G33</f>
        <v>0</v>
      </c>
      <c r="H33" s="24">
        <f ca="1">'101'!H33+'102'!H33+'103'!H33+'104'!H33+'105'!H33+'106'!H33+'107'!H33+'112'!H33</f>
        <v>0</v>
      </c>
      <c r="I33" s="24">
        <f ca="1">'101'!I33+'102'!I33+'103'!I33+'104'!I33+'105'!I33+'106'!I33+'107'!I33+'112'!I33</f>
        <v>0</v>
      </c>
      <c r="J33" s="24">
        <f ca="1">'101'!J33+'102'!J33+'103'!J33+'104'!J33+'105'!J33+'106'!J33+'107'!J33+'112'!J33</f>
        <v>0</v>
      </c>
      <c r="K33" s="24">
        <f ca="1">'101'!K33+'102'!K33+'103'!K33+'104'!K33+'105'!K33+'106'!K33+'107'!K33+'112'!K33</f>
        <v>0</v>
      </c>
      <c r="L33" s="24">
        <f ca="1">'101'!L33+'102'!L33+'103'!L33+'104'!L33+'105'!L33+'106'!L33+'107'!L33+'112'!L33</f>
        <v>0</v>
      </c>
      <c r="M33" s="24">
        <f ca="1">'101'!M33+'102'!M33+'103'!M33+'104'!M33+'105'!M33+'106'!M33+'107'!M33+'112'!M33</f>
        <v>0</v>
      </c>
      <c r="N33" s="24">
        <f ca="1">'101'!N33+'102'!N33+'103'!N33+'104'!N33+'105'!N33+'106'!N33+'107'!N33+'112'!N33</f>
        <v>0</v>
      </c>
      <c r="O33" s="24">
        <f ca="1">'101'!O33+'102'!O33+'103'!O33+'104'!O33+'105'!O33+'106'!O33+'107'!O33+'112'!O33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'101'!D34+'102'!D34+'103'!D34+'104'!D34+'105'!D34+'106'!D34+'107'!D34+'112'!D34</f>
        <v>80</v>
      </c>
      <c r="E34" s="24">
        <f ca="1">'101'!E34+'102'!E34+'103'!E34+'104'!E34+'105'!E34+'106'!E34+'107'!E34+'112'!E34</f>
        <v>0</v>
      </c>
      <c r="F34" s="24">
        <f ca="1">'101'!F34+'102'!F34+'103'!F34+'104'!F34+'105'!F34+'106'!F34+'107'!F34+'112'!F34</f>
        <v>0</v>
      </c>
      <c r="G34" s="24">
        <f ca="1">'101'!G34+'102'!G34+'103'!G34+'104'!G34+'105'!G34+'106'!G34+'107'!G34+'112'!G34</f>
        <v>0</v>
      </c>
      <c r="H34" s="24">
        <f ca="1">'101'!H34+'102'!H34+'103'!H34+'104'!H34+'105'!H34+'106'!H34+'107'!H34+'112'!H34</f>
        <v>0</v>
      </c>
      <c r="I34" s="24">
        <f ca="1">'101'!I34+'102'!I34+'103'!I34+'104'!I34+'105'!I34+'106'!I34+'107'!I34+'112'!I34</f>
        <v>0</v>
      </c>
      <c r="J34" s="24">
        <f ca="1">'101'!J34+'102'!J34+'103'!J34+'104'!J34+'105'!J34+'106'!J34+'107'!J34+'112'!J34</f>
        <v>0</v>
      </c>
      <c r="K34" s="24">
        <f ca="1">'101'!K34+'102'!K34+'103'!K34+'104'!K34+'105'!K34+'106'!K34+'107'!K34+'112'!K34</f>
        <v>0</v>
      </c>
      <c r="L34" s="24">
        <f ca="1">'101'!L34+'102'!L34+'103'!L34+'104'!L34+'105'!L34+'106'!L34+'107'!L34+'112'!L34</f>
        <v>0</v>
      </c>
      <c r="M34" s="24">
        <f ca="1">'101'!M34+'102'!M34+'103'!M34+'104'!M34+'105'!M34+'106'!M34+'107'!M34+'112'!M34</f>
        <v>0</v>
      </c>
      <c r="N34" s="24">
        <f ca="1">'101'!N34+'102'!N34+'103'!N34+'104'!N34+'105'!N34+'106'!N34+'107'!N34+'112'!N34</f>
        <v>0</v>
      </c>
      <c r="O34" s="24">
        <f ca="1">'101'!O34+'102'!O34+'103'!O34+'104'!O34+'105'!O34+'106'!O34+'107'!O34+'112'!O34</f>
        <v>0</v>
      </c>
    </row>
    <row r="35" spans="1:15">
      <c r="A35" s="27"/>
      <c r="B35" s="24"/>
      <c r="C35" s="33">
        <f>Справочник!J1</f>
        <v>2019</v>
      </c>
      <c r="D35" s="24">
        <f ca="1">'101'!D35+'102'!D35+'103'!D35+'104'!D35+'105'!D35+'106'!D35+'107'!D35+'112'!D35</f>
        <v>74</v>
      </c>
      <c r="E35" s="24">
        <f ca="1">'101'!E35+'102'!E35+'103'!E35+'104'!E35+'105'!E35+'106'!E35+'107'!E35+'112'!E35</f>
        <v>0</v>
      </c>
      <c r="F35" s="24">
        <f ca="1">'101'!F35+'102'!F35+'103'!F35+'104'!F35+'105'!F35+'106'!F35+'107'!F35+'112'!F35</f>
        <v>0</v>
      </c>
      <c r="G35" s="24">
        <f ca="1">'101'!G35+'102'!G35+'103'!G35+'104'!G35+'105'!G35+'106'!G35+'107'!G35+'112'!G35</f>
        <v>0</v>
      </c>
      <c r="H35" s="24">
        <f ca="1">'101'!H35+'102'!H35+'103'!H35+'104'!H35+'105'!H35+'106'!H35+'107'!H35+'112'!H35</f>
        <v>0</v>
      </c>
      <c r="I35" s="24">
        <f ca="1">'101'!I35+'102'!I35+'103'!I35+'104'!I35+'105'!I35+'106'!I35+'107'!I35+'112'!I35</f>
        <v>0</v>
      </c>
      <c r="J35" s="24">
        <f ca="1">'101'!J35+'102'!J35+'103'!J35+'104'!J35+'105'!J35+'106'!J35+'107'!J35+'112'!J35</f>
        <v>0</v>
      </c>
      <c r="K35" s="24">
        <f ca="1">'101'!K35+'102'!K35+'103'!K35+'104'!K35+'105'!K35+'106'!K35+'107'!K35+'112'!K35</f>
        <v>0</v>
      </c>
      <c r="L35" s="24">
        <f ca="1">'101'!L35+'102'!L35+'103'!L35+'104'!L35+'105'!L35+'106'!L35+'107'!L35+'112'!L35</f>
        <v>0</v>
      </c>
      <c r="M35" s="24">
        <f ca="1">'101'!M35+'102'!M35+'103'!M35+'104'!M35+'105'!M35+'106'!M35+'107'!M35+'112'!M35</f>
        <v>0</v>
      </c>
      <c r="N35" s="24">
        <f ca="1">'101'!N35+'102'!N35+'103'!N35+'104'!N35+'105'!N35+'106'!N35+'107'!N35+'112'!N35</f>
        <v>0</v>
      </c>
      <c r="O35" s="24">
        <f ca="1">'101'!O35+'102'!O35+'103'!O35+'104'!O35+'105'!O35+'106'!O35+'107'!O35+'112'!O35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'101'!D36+'102'!D36+'103'!D36+'104'!D36+'105'!D36+'106'!D36+'107'!D36+'112'!D36</f>
        <v>595</v>
      </c>
      <c r="E36" s="24">
        <f ca="1">'101'!E36+'102'!E36+'103'!E36+'104'!E36+'105'!E36+'106'!E36+'107'!E36+'112'!E36</f>
        <v>0</v>
      </c>
      <c r="F36" s="24">
        <f ca="1">'101'!F36+'102'!F36+'103'!F36+'104'!F36+'105'!F36+'106'!F36+'107'!F36+'112'!F36</f>
        <v>0</v>
      </c>
      <c r="G36" s="24">
        <f ca="1">'101'!G36+'102'!G36+'103'!G36+'104'!G36+'105'!G36+'106'!G36+'107'!G36+'112'!G36</f>
        <v>0</v>
      </c>
      <c r="H36" s="24">
        <f ca="1">'101'!H36+'102'!H36+'103'!H36+'104'!H36+'105'!H36+'106'!H36+'107'!H36+'112'!H36</f>
        <v>0</v>
      </c>
      <c r="I36" s="24">
        <f ca="1">'101'!I36+'102'!I36+'103'!I36+'104'!I36+'105'!I36+'106'!I36+'107'!I36+'112'!I36</f>
        <v>0</v>
      </c>
      <c r="J36" s="24">
        <f ca="1">'101'!J36+'102'!J36+'103'!J36+'104'!J36+'105'!J36+'106'!J36+'107'!J36+'112'!J36</f>
        <v>0</v>
      </c>
      <c r="K36" s="24">
        <f ca="1">'101'!K36+'102'!K36+'103'!K36+'104'!K36+'105'!K36+'106'!K36+'107'!K36+'112'!K36</f>
        <v>0</v>
      </c>
      <c r="L36" s="24">
        <f ca="1">'101'!L36+'102'!L36+'103'!L36+'104'!L36+'105'!L36+'106'!L36+'107'!L36+'112'!L36</f>
        <v>0</v>
      </c>
      <c r="M36" s="24">
        <f ca="1">'101'!M36+'102'!M36+'103'!M36+'104'!M36+'105'!M36+'106'!M36+'107'!M36+'112'!M36</f>
        <v>0</v>
      </c>
      <c r="N36" s="24">
        <f ca="1">'101'!N36+'102'!N36+'103'!N36+'104'!N36+'105'!N36+'106'!N36+'107'!N36+'112'!N36</f>
        <v>0</v>
      </c>
      <c r="O36" s="24">
        <f ca="1">'101'!O36+'102'!O36+'103'!O36+'104'!O36+'105'!O36+'106'!O36+'107'!O36+'112'!O36</f>
        <v>0</v>
      </c>
    </row>
    <row r="37" spans="1:15">
      <c r="A37" s="25"/>
      <c r="B37" s="24"/>
      <c r="C37" s="33">
        <f>Справочник!J1</f>
        <v>2019</v>
      </c>
      <c r="D37" s="24">
        <f ca="1">'101'!D37+'102'!D37+'103'!D37+'104'!D37+'105'!D37+'106'!D37+'107'!D37+'112'!D37</f>
        <v>579</v>
      </c>
      <c r="E37" s="24">
        <f ca="1">'101'!E37+'102'!E37+'103'!E37+'104'!E37+'105'!E37+'106'!E37+'107'!E37+'112'!E37</f>
        <v>0</v>
      </c>
      <c r="F37" s="24">
        <f ca="1">'101'!F37+'102'!F37+'103'!F37+'104'!F37+'105'!F37+'106'!F37+'107'!F37+'112'!F37</f>
        <v>0</v>
      </c>
      <c r="G37" s="24">
        <f ca="1">'101'!G37+'102'!G37+'103'!G37+'104'!G37+'105'!G37+'106'!G37+'107'!G37+'112'!G37</f>
        <v>0</v>
      </c>
      <c r="H37" s="24">
        <f ca="1">'101'!H37+'102'!H37+'103'!H37+'104'!H37+'105'!H37+'106'!H37+'107'!H37+'112'!H37</f>
        <v>0</v>
      </c>
      <c r="I37" s="24">
        <f ca="1">'101'!I37+'102'!I37+'103'!I37+'104'!I37+'105'!I37+'106'!I37+'107'!I37+'112'!I37</f>
        <v>0</v>
      </c>
      <c r="J37" s="24">
        <f ca="1">'101'!J37+'102'!J37+'103'!J37+'104'!J37+'105'!J37+'106'!J37+'107'!J37+'112'!J37</f>
        <v>0</v>
      </c>
      <c r="K37" s="24">
        <f ca="1">'101'!K37+'102'!K37+'103'!K37+'104'!K37+'105'!K37+'106'!K37+'107'!K37+'112'!K37</f>
        <v>0</v>
      </c>
      <c r="L37" s="24">
        <f ca="1">'101'!L37+'102'!L37+'103'!L37+'104'!L37+'105'!L37+'106'!L37+'107'!L37+'112'!L37</f>
        <v>0</v>
      </c>
      <c r="M37" s="24">
        <f ca="1">'101'!M37+'102'!M37+'103'!M37+'104'!M37+'105'!M37+'106'!M37+'107'!M37+'112'!M37</f>
        <v>0</v>
      </c>
      <c r="N37" s="24">
        <f ca="1">'101'!N37+'102'!N37+'103'!N37+'104'!N37+'105'!N37+'106'!N37+'107'!N37+'112'!N37</f>
        <v>0</v>
      </c>
      <c r="O37" s="24">
        <f ca="1">'101'!O37+'102'!O37+'103'!O37+'104'!O37+'105'!O37+'106'!O37+'107'!O37+'112'!O37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'101'!D38+'102'!D38+'103'!D38+'104'!D38+'105'!D38+'106'!D38+'107'!D38+'112'!D38</f>
        <v>16</v>
      </c>
      <c r="E38" s="24">
        <f ca="1">'101'!E38+'102'!E38+'103'!E38+'104'!E38+'105'!E38+'106'!E38+'107'!E38+'112'!E38</f>
        <v>0</v>
      </c>
      <c r="F38" s="24">
        <f ca="1">'101'!F38+'102'!F38+'103'!F38+'104'!F38+'105'!F38+'106'!F38+'107'!F38+'112'!F38</f>
        <v>0</v>
      </c>
      <c r="G38" s="24">
        <f ca="1">'101'!G38+'102'!G38+'103'!G38+'104'!G38+'105'!G38+'106'!G38+'107'!G38+'112'!G38</f>
        <v>0</v>
      </c>
      <c r="H38" s="24">
        <f ca="1">'101'!H38+'102'!H38+'103'!H38+'104'!H38+'105'!H38+'106'!H38+'107'!H38+'112'!H38</f>
        <v>0</v>
      </c>
      <c r="I38" s="24">
        <f ca="1">'101'!I38+'102'!I38+'103'!I38+'104'!I38+'105'!I38+'106'!I38+'107'!I38+'112'!I38</f>
        <v>0</v>
      </c>
      <c r="J38" s="24">
        <f ca="1">'101'!J38+'102'!J38+'103'!J38+'104'!J38+'105'!J38+'106'!J38+'107'!J38+'112'!J38</f>
        <v>0</v>
      </c>
      <c r="K38" s="24">
        <f ca="1">'101'!K38+'102'!K38+'103'!K38+'104'!K38+'105'!K38+'106'!K38+'107'!K38+'112'!K38</f>
        <v>0</v>
      </c>
      <c r="L38" s="24">
        <f ca="1">'101'!L38+'102'!L38+'103'!L38+'104'!L38+'105'!L38+'106'!L38+'107'!L38+'112'!L38</f>
        <v>0</v>
      </c>
      <c r="M38" s="24">
        <f ca="1">'101'!M38+'102'!M38+'103'!M38+'104'!M38+'105'!M38+'106'!M38+'107'!M38+'112'!M38</f>
        <v>0</v>
      </c>
      <c r="N38" s="24">
        <f ca="1">'101'!N38+'102'!N38+'103'!N38+'104'!N38+'105'!N38+'106'!N38+'107'!N38+'112'!N38</f>
        <v>0</v>
      </c>
      <c r="O38" s="24">
        <f ca="1">'101'!O38+'102'!O38+'103'!O38+'104'!O38+'105'!O38+'106'!O38+'107'!O38+'112'!O38</f>
        <v>0</v>
      </c>
    </row>
    <row r="39" spans="1:15">
      <c r="A39" s="25"/>
      <c r="B39" s="24"/>
      <c r="C39" s="33">
        <f>Справочник!J1</f>
        <v>2019</v>
      </c>
      <c r="D39" s="24">
        <f ca="1">'101'!D39+'102'!D39+'103'!D39+'104'!D39+'105'!D39+'106'!D39+'107'!D39+'112'!D39</f>
        <v>31</v>
      </c>
      <c r="E39" s="24">
        <f ca="1">'101'!E39+'102'!E39+'103'!E39+'104'!E39+'105'!E39+'106'!E39+'107'!E39+'112'!E39</f>
        <v>0</v>
      </c>
      <c r="F39" s="24">
        <f ca="1">'101'!F39+'102'!F39+'103'!F39+'104'!F39+'105'!F39+'106'!F39+'107'!F39+'112'!F39</f>
        <v>0</v>
      </c>
      <c r="G39" s="24">
        <f ca="1">'101'!G39+'102'!G39+'103'!G39+'104'!G39+'105'!G39+'106'!G39+'107'!G39+'112'!G39</f>
        <v>0</v>
      </c>
      <c r="H39" s="24">
        <f ca="1">'101'!H39+'102'!H39+'103'!H39+'104'!H39+'105'!H39+'106'!H39+'107'!H39+'112'!H39</f>
        <v>0</v>
      </c>
      <c r="I39" s="24">
        <f ca="1">'101'!I39+'102'!I39+'103'!I39+'104'!I39+'105'!I39+'106'!I39+'107'!I39+'112'!I39</f>
        <v>0</v>
      </c>
      <c r="J39" s="24">
        <f ca="1">'101'!J39+'102'!J39+'103'!J39+'104'!J39+'105'!J39+'106'!J39+'107'!J39+'112'!J39</f>
        <v>0</v>
      </c>
      <c r="K39" s="24">
        <f ca="1">'101'!K39+'102'!K39+'103'!K39+'104'!K39+'105'!K39+'106'!K39+'107'!K39+'112'!K39</f>
        <v>0</v>
      </c>
      <c r="L39" s="24">
        <f ca="1">'101'!L39+'102'!L39+'103'!L39+'104'!L39+'105'!L39+'106'!L39+'107'!L39+'112'!L39</f>
        <v>0</v>
      </c>
      <c r="M39" s="24">
        <f ca="1">'101'!M39+'102'!M39+'103'!M39+'104'!M39+'105'!M39+'106'!M39+'107'!M39+'112'!M39</f>
        <v>0</v>
      </c>
      <c r="N39" s="24">
        <f ca="1">'101'!N39+'102'!N39+'103'!N39+'104'!N39+'105'!N39+'106'!N39+'107'!N39+'112'!N39</f>
        <v>0</v>
      </c>
      <c r="O39" s="24">
        <f ca="1">'101'!O39+'102'!O39+'103'!O39+'104'!O39+'105'!O39+'106'!O39+'107'!O39+'112'!O39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'101'!D40+'102'!D40+'103'!D40+'104'!D40+'105'!D40+'106'!D40+'107'!D40+'112'!D40</f>
        <v>161</v>
      </c>
      <c r="E40" s="24">
        <f ca="1">'101'!E40+'102'!E40+'103'!E40+'104'!E40+'105'!E40+'106'!E40+'107'!E40+'112'!E40</f>
        <v>0</v>
      </c>
      <c r="F40" s="24">
        <f ca="1">'101'!F40+'102'!F40+'103'!F40+'104'!F40+'105'!F40+'106'!F40+'107'!F40+'112'!F40</f>
        <v>0</v>
      </c>
      <c r="G40" s="24">
        <f ca="1">'101'!G40+'102'!G40+'103'!G40+'104'!G40+'105'!G40+'106'!G40+'107'!G40+'112'!G40</f>
        <v>0</v>
      </c>
      <c r="H40" s="24">
        <f ca="1">'101'!H40+'102'!H40+'103'!H40+'104'!H40+'105'!H40+'106'!H40+'107'!H40+'112'!H40</f>
        <v>0</v>
      </c>
      <c r="I40" s="24">
        <f ca="1">'101'!I40+'102'!I40+'103'!I40+'104'!I40+'105'!I40+'106'!I40+'107'!I40+'112'!I40</f>
        <v>0</v>
      </c>
      <c r="J40" s="24">
        <f ca="1">'101'!J40+'102'!J40+'103'!J40+'104'!J40+'105'!J40+'106'!J40+'107'!J40+'112'!J40</f>
        <v>0</v>
      </c>
      <c r="K40" s="24">
        <f ca="1">'101'!K40+'102'!K40+'103'!K40+'104'!K40+'105'!K40+'106'!K40+'107'!K40+'112'!K40</f>
        <v>0</v>
      </c>
      <c r="L40" s="24">
        <f ca="1">'101'!L40+'102'!L40+'103'!L40+'104'!L40+'105'!L40+'106'!L40+'107'!L40+'112'!L40</f>
        <v>0</v>
      </c>
      <c r="M40" s="24">
        <f ca="1">'101'!M40+'102'!M40+'103'!M40+'104'!M40+'105'!M40+'106'!M40+'107'!M40+'112'!M40</f>
        <v>0</v>
      </c>
      <c r="N40" s="24">
        <f ca="1">'101'!N40+'102'!N40+'103'!N40+'104'!N40+'105'!N40+'106'!N40+'107'!N40+'112'!N40</f>
        <v>0</v>
      </c>
      <c r="O40" s="24">
        <f ca="1">'101'!O40+'102'!O40+'103'!O40+'104'!O40+'105'!O40+'106'!O40+'107'!O40+'112'!O40</f>
        <v>0</v>
      </c>
    </row>
    <row r="41" spans="1:15">
      <c r="A41" s="25"/>
      <c r="B41" s="24"/>
      <c r="C41" s="33">
        <f>Справочник!J1</f>
        <v>2019</v>
      </c>
      <c r="D41" s="24">
        <f ca="1">'101'!D41+'102'!D41+'103'!D41+'104'!D41+'105'!D41+'106'!D41+'107'!D41+'112'!D41</f>
        <v>157</v>
      </c>
      <c r="E41" s="24">
        <f ca="1">'101'!E41+'102'!E41+'103'!E41+'104'!E41+'105'!E41+'106'!E41+'107'!E41+'112'!E41</f>
        <v>0</v>
      </c>
      <c r="F41" s="24">
        <f ca="1">'101'!F41+'102'!F41+'103'!F41+'104'!F41+'105'!F41+'106'!F41+'107'!F41+'112'!F41</f>
        <v>0</v>
      </c>
      <c r="G41" s="24">
        <f ca="1">'101'!G41+'102'!G41+'103'!G41+'104'!G41+'105'!G41+'106'!G41+'107'!G41+'112'!G41</f>
        <v>0</v>
      </c>
      <c r="H41" s="24">
        <f ca="1">'101'!H41+'102'!H41+'103'!H41+'104'!H41+'105'!H41+'106'!H41+'107'!H41+'112'!H41</f>
        <v>0</v>
      </c>
      <c r="I41" s="24">
        <f ca="1">'101'!I41+'102'!I41+'103'!I41+'104'!I41+'105'!I41+'106'!I41+'107'!I41+'112'!I41</f>
        <v>0</v>
      </c>
      <c r="J41" s="24">
        <f ca="1">'101'!J41+'102'!J41+'103'!J41+'104'!J41+'105'!J41+'106'!J41+'107'!J41+'112'!J41</f>
        <v>0</v>
      </c>
      <c r="K41" s="24">
        <f ca="1">'101'!K41+'102'!K41+'103'!K41+'104'!K41+'105'!K41+'106'!K41+'107'!K41+'112'!K41</f>
        <v>0</v>
      </c>
      <c r="L41" s="24">
        <f ca="1">'101'!L41+'102'!L41+'103'!L41+'104'!L41+'105'!L41+'106'!L41+'107'!L41+'112'!L41</f>
        <v>0</v>
      </c>
      <c r="M41" s="24">
        <f ca="1">'101'!M41+'102'!M41+'103'!M41+'104'!M41+'105'!M41+'106'!M41+'107'!M41+'112'!M41</f>
        <v>0</v>
      </c>
      <c r="N41" s="24">
        <f ca="1">'101'!N41+'102'!N41+'103'!N41+'104'!N41+'105'!N41+'106'!N41+'107'!N41+'112'!N41</f>
        <v>0</v>
      </c>
      <c r="O41" s="24">
        <f ca="1">'101'!O41+'102'!O41+'103'!O41+'104'!O41+'105'!O41+'106'!O41+'107'!O41+'112'!O41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'101'!D42+'102'!D42+'103'!D42+'104'!D42+'105'!D42+'106'!D42+'107'!D42+'112'!D42</f>
        <v>317</v>
      </c>
      <c r="E42" s="24">
        <f ca="1">'101'!E42+'102'!E42+'103'!E42+'104'!E42+'105'!E42+'106'!E42+'107'!E42+'112'!E42</f>
        <v>0</v>
      </c>
      <c r="F42" s="24">
        <f ca="1">'101'!F42+'102'!F42+'103'!F42+'104'!F42+'105'!F42+'106'!F42+'107'!F42+'112'!F42</f>
        <v>0</v>
      </c>
      <c r="G42" s="24">
        <f ca="1">'101'!G42+'102'!G42+'103'!G42+'104'!G42+'105'!G42+'106'!G42+'107'!G42+'112'!G42</f>
        <v>0</v>
      </c>
      <c r="H42" s="24">
        <f ca="1">'101'!H42+'102'!H42+'103'!H42+'104'!H42+'105'!H42+'106'!H42+'107'!H42+'112'!H42</f>
        <v>0</v>
      </c>
      <c r="I42" s="24">
        <f ca="1">'101'!I42+'102'!I42+'103'!I42+'104'!I42+'105'!I42+'106'!I42+'107'!I42+'112'!I42</f>
        <v>0</v>
      </c>
      <c r="J42" s="24">
        <f ca="1">'101'!J42+'102'!J42+'103'!J42+'104'!J42+'105'!J42+'106'!J42+'107'!J42+'112'!J42</f>
        <v>0</v>
      </c>
      <c r="K42" s="24">
        <f ca="1">'101'!K42+'102'!K42+'103'!K42+'104'!K42+'105'!K42+'106'!K42+'107'!K42+'112'!K42</f>
        <v>0</v>
      </c>
      <c r="L42" s="24">
        <f ca="1">'101'!L42+'102'!L42+'103'!L42+'104'!L42+'105'!L42+'106'!L42+'107'!L42+'112'!L42</f>
        <v>0</v>
      </c>
      <c r="M42" s="24">
        <f ca="1">'101'!M42+'102'!M42+'103'!M42+'104'!M42+'105'!M42+'106'!M42+'107'!M42+'112'!M42</f>
        <v>0</v>
      </c>
      <c r="N42" s="24">
        <f ca="1">'101'!N42+'102'!N42+'103'!N42+'104'!N42+'105'!N42+'106'!N42+'107'!N42+'112'!N42</f>
        <v>0</v>
      </c>
      <c r="O42" s="24">
        <f ca="1">'101'!O42+'102'!O42+'103'!O42+'104'!O42+'105'!O42+'106'!O42+'107'!O42+'112'!O42</f>
        <v>0</v>
      </c>
    </row>
    <row r="43" spans="1:15">
      <c r="A43" s="25"/>
      <c r="B43" s="24"/>
      <c r="C43" s="33">
        <f>Справочник!J1</f>
        <v>2019</v>
      </c>
      <c r="D43" s="24">
        <f ca="1">'101'!D43+'102'!D43+'103'!D43+'104'!D43+'105'!D43+'106'!D43+'107'!D43+'112'!D43</f>
        <v>363</v>
      </c>
      <c r="E43" s="24">
        <f ca="1">'101'!E43+'102'!E43+'103'!E43+'104'!E43+'105'!E43+'106'!E43+'107'!E43+'112'!E43</f>
        <v>0</v>
      </c>
      <c r="F43" s="24">
        <f ca="1">'101'!F43+'102'!F43+'103'!F43+'104'!F43+'105'!F43+'106'!F43+'107'!F43+'112'!F43</f>
        <v>0</v>
      </c>
      <c r="G43" s="24">
        <f ca="1">'101'!G43+'102'!G43+'103'!G43+'104'!G43+'105'!G43+'106'!G43+'107'!G43+'112'!G43</f>
        <v>0</v>
      </c>
      <c r="H43" s="24">
        <f ca="1">'101'!H43+'102'!H43+'103'!H43+'104'!H43+'105'!H43+'106'!H43+'107'!H43+'112'!H43</f>
        <v>0</v>
      </c>
      <c r="I43" s="24">
        <f ca="1">'101'!I43+'102'!I43+'103'!I43+'104'!I43+'105'!I43+'106'!I43+'107'!I43+'112'!I43</f>
        <v>0</v>
      </c>
      <c r="J43" s="24">
        <f ca="1">'101'!J43+'102'!J43+'103'!J43+'104'!J43+'105'!J43+'106'!J43+'107'!J43+'112'!J43</f>
        <v>0</v>
      </c>
      <c r="K43" s="24">
        <f ca="1">'101'!K43+'102'!K43+'103'!K43+'104'!K43+'105'!K43+'106'!K43+'107'!K43+'112'!K43</f>
        <v>0</v>
      </c>
      <c r="L43" s="24">
        <f ca="1">'101'!L43+'102'!L43+'103'!L43+'104'!L43+'105'!L43+'106'!L43+'107'!L43+'112'!L43</f>
        <v>0</v>
      </c>
      <c r="M43" s="24">
        <f ca="1">'101'!M43+'102'!M43+'103'!M43+'104'!M43+'105'!M43+'106'!M43+'107'!M43+'112'!M43</f>
        <v>0</v>
      </c>
      <c r="N43" s="24">
        <f ca="1">'101'!N43+'102'!N43+'103'!N43+'104'!N43+'105'!N43+'106'!N43+'107'!N43+'112'!N43</f>
        <v>0</v>
      </c>
      <c r="O43" s="24">
        <f ca="1">'101'!O43+'102'!O43+'103'!O43+'104'!O43+'105'!O43+'106'!O43+'107'!O43+'112'!O43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'101'!D44+'102'!D44+'103'!D44+'104'!D44+'105'!D44+'106'!D44+'107'!D44+'112'!D44</f>
        <v>103</v>
      </c>
      <c r="E44" s="24">
        <f ca="1">'101'!E44+'102'!E44+'103'!E44+'104'!E44+'105'!E44+'106'!E44+'107'!E44+'112'!E44</f>
        <v>0</v>
      </c>
      <c r="F44" s="24">
        <f ca="1">'101'!F44+'102'!F44+'103'!F44+'104'!F44+'105'!F44+'106'!F44+'107'!F44+'112'!F44</f>
        <v>0</v>
      </c>
      <c r="G44" s="24">
        <f ca="1">'101'!G44+'102'!G44+'103'!G44+'104'!G44+'105'!G44+'106'!G44+'107'!G44+'112'!G44</f>
        <v>0</v>
      </c>
      <c r="H44" s="24">
        <f ca="1">'101'!H44+'102'!H44+'103'!H44+'104'!H44+'105'!H44+'106'!H44+'107'!H44+'112'!H44</f>
        <v>0</v>
      </c>
      <c r="I44" s="24">
        <f ca="1">'101'!I44+'102'!I44+'103'!I44+'104'!I44+'105'!I44+'106'!I44+'107'!I44+'112'!I44</f>
        <v>0</v>
      </c>
      <c r="J44" s="24">
        <f ca="1">'101'!J44+'102'!J44+'103'!J44+'104'!J44+'105'!J44+'106'!J44+'107'!J44+'112'!J44</f>
        <v>0</v>
      </c>
      <c r="K44" s="24">
        <f ca="1">'101'!K44+'102'!K44+'103'!K44+'104'!K44+'105'!K44+'106'!K44+'107'!K44+'112'!K44</f>
        <v>0</v>
      </c>
      <c r="L44" s="24">
        <f ca="1">'101'!L44+'102'!L44+'103'!L44+'104'!L44+'105'!L44+'106'!L44+'107'!L44+'112'!L44</f>
        <v>0</v>
      </c>
      <c r="M44" s="24">
        <f ca="1">'101'!M44+'102'!M44+'103'!M44+'104'!M44+'105'!M44+'106'!M44+'107'!M44+'112'!M44</f>
        <v>0</v>
      </c>
      <c r="N44" s="24">
        <f ca="1">'101'!N44+'102'!N44+'103'!N44+'104'!N44+'105'!N44+'106'!N44+'107'!N44+'112'!N44</f>
        <v>0</v>
      </c>
      <c r="O44" s="24">
        <f ca="1">'101'!O44+'102'!O44+'103'!O44+'104'!O44+'105'!O44+'106'!O44+'107'!O44+'112'!O44</f>
        <v>0</v>
      </c>
    </row>
    <row r="45" spans="1:15">
      <c r="A45" s="25"/>
      <c r="B45" s="24"/>
      <c r="C45" s="33">
        <f>Справочник!J1</f>
        <v>2019</v>
      </c>
      <c r="D45" s="24">
        <f ca="1">'101'!D45+'102'!D45+'103'!D45+'104'!D45+'105'!D45+'106'!D45+'107'!D45+'112'!D45</f>
        <v>43</v>
      </c>
      <c r="E45" s="24">
        <f ca="1">'101'!E45+'102'!E45+'103'!E45+'104'!E45+'105'!E45+'106'!E45+'107'!E45+'112'!E45</f>
        <v>0</v>
      </c>
      <c r="F45" s="24">
        <f ca="1">'101'!F45+'102'!F45+'103'!F45+'104'!F45+'105'!F45+'106'!F45+'107'!F45+'112'!F45</f>
        <v>0</v>
      </c>
      <c r="G45" s="24">
        <f ca="1">'101'!G45+'102'!G45+'103'!G45+'104'!G45+'105'!G45+'106'!G45+'107'!G45+'112'!G45</f>
        <v>0</v>
      </c>
      <c r="H45" s="24">
        <f ca="1">'101'!H45+'102'!H45+'103'!H45+'104'!H45+'105'!H45+'106'!H45+'107'!H45+'112'!H45</f>
        <v>0</v>
      </c>
      <c r="I45" s="24">
        <f ca="1">'101'!I45+'102'!I45+'103'!I45+'104'!I45+'105'!I45+'106'!I45+'107'!I45+'112'!I45</f>
        <v>0</v>
      </c>
      <c r="J45" s="24">
        <f ca="1">'101'!J45+'102'!J45+'103'!J45+'104'!J45+'105'!J45+'106'!J45+'107'!J45+'112'!J45</f>
        <v>0</v>
      </c>
      <c r="K45" s="24">
        <f ca="1">'101'!K45+'102'!K45+'103'!K45+'104'!K45+'105'!K45+'106'!K45+'107'!K45+'112'!K45</f>
        <v>0</v>
      </c>
      <c r="L45" s="24">
        <f ca="1">'101'!L45+'102'!L45+'103'!L45+'104'!L45+'105'!L45+'106'!L45+'107'!L45+'112'!L45</f>
        <v>0</v>
      </c>
      <c r="M45" s="24">
        <f ca="1">'101'!M45+'102'!M45+'103'!M45+'104'!M45+'105'!M45+'106'!M45+'107'!M45+'112'!M45</f>
        <v>0</v>
      </c>
      <c r="N45" s="24">
        <f ca="1">'101'!N45+'102'!N45+'103'!N45+'104'!N45+'105'!N45+'106'!N45+'107'!N45+'112'!N45</f>
        <v>0</v>
      </c>
      <c r="O45" s="24">
        <f ca="1">'101'!O45+'102'!O45+'103'!O45+'104'!O45+'105'!O45+'106'!O45+'107'!O45+'112'!O45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'101'!D46+'102'!D46+'103'!D46+'104'!D46+'105'!D46+'106'!D46+'107'!D46+'112'!D46</f>
        <v>78</v>
      </c>
      <c r="E46" s="24">
        <f ca="1">'101'!E46+'102'!E46+'103'!E46+'104'!E46+'105'!E46+'106'!E46+'107'!E46+'112'!E46</f>
        <v>0</v>
      </c>
      <c r="F46" s="24">
        <f ca="1">'101'!F46+'102'!F46+'103'!F46+'104'!F46+'105'!F46+'106'!F46+'107'!F46+'112'!F46</f>
        <v>0</v>
      </c>
      <c r="G46" s="24">
        <f ca="1">'101'!G46+'102'!G46+'103'!G46+'104'!G46+'105'!G46+'106'!G46+'107'!G46+'112'!G46</f>
        <v>0</v>
      </c>
      <c r="H46" s="24">
        <f ca="1">'101'!H46+'102'!H46+'103'!H46+'104'!H46+'105'!H46+'106'!H46+'107'!H46+'112'!H46</f>
        <v>0</v>
      </c>
      <c r="I46" s="24">
        <f ca="1">'101'!I46+'102'!I46+'103'!I46+'104'!I46+'105'!I46+'106'!I46+'107'!I46+'112'!I46</f>
        <v>0</v>
      </c>
      <c r="J46" s="24">
        <f ca="1">'101'!J46+'102'!J46+'103'!J46+'104'!J46+'105'!J46+'106'!J46+'107'!J46+'112'!J46</f>
        <v>0</v>
      </c>
      <c r="K46" s="24">
        <f ca="1">'101'!K46+'102'!K46+'103'!K46+'104'!K46+'105'!K46+'106'!K46+'107'!K46+'112'!K46</f>
        <v>0</v>
      </c>
      <c r="L46" s="24">
        <f ca="1">'101'!L46+'102'!L46+'103'!L46+'104'!L46+'105'!L46+'106'!L46+'107'!L46+'112'!L46</f>
        <v>0</v>
      </c>
      <c r="M46" s="24">
        <f ca="1">'101'!M46+'102'!M46+'103'!M46+'104'!M46+'105'!M46+'106'!M46+'107'!M46+'112'!M46</f>
        <v>0</v>
      </c>
      <c r="N46" s="24">
        <f ca="1">'101'!N46+'102'!N46+'103'!N46+'104'!N46+'105'!N46+'106'!N46+'107'!N46+'112'!N46</f>
        <v>0</v>
      </c>
      <c r="O46" s="24">
        <f ca="1">'101'!O46+'102'!O46+'103'!O46+'104'!O46+'105'!O46+'106'!O46+'107'!O46+'112'!O46</f>
        <v>0</v>
      </c>
    </row>
    <row r="47" spans="1:15">
      <c r="A47" s="25"/>
      <c r="B47" s="24"/>
      <c r="C47" s="33">
        <f>Справочник!J1</f>
        <v>2019</v>
      </c>
      <c r="D47" s="24">
        <f ca="1">'101'!D47+'102'!D47+'103'!D47+'104'!D47+'105'!D47+'106'!D47+'107'!D47+'112'!D47</f>
        <v>6</v>
      </c>
      <c r="E47" s="24">
        <f ca="1">'101'!E47+'102'!E47+'103'!E47+'104'!E47+'105'!E47+'106'!E47+'107'!E47+'112'!E47</f>
        <v>0</v>
      </c>
      <c r="F47" s="24">
        <f ca="1">'101'!F47+'102'!F47+'103'!F47+'104'!F47+'105'!F47+'106'!F47+'107'!F47+'112'!F47</f>
        <v>0</v>
      </c>
      <c r="G47" s="24">
        <f ca="1">'101'!G47+'102'!G47+'103'!G47+'104'!G47+'105'!G47+'106'!G47+'107'!G47+'112'!G47</f>
        <v>0</v>
      </c>
      <c r="H47" s="24">
        <f ca="1">'101'!H47+'102'!H47+'103'!H47+'104'!H47+'105'!H47+'106'!H47+'107'!H47+'112'!H47</f>
        <v>0</v>
      </c>
      <c r="I47" s="24">
        <f ca="1">'101'!I47+'102'!I47+'103'!I47+'104'!I47+'105'!I47+'106'!I47+'107'!I47+'112'!I47</f>
        <v>0</v>
      </c>
      <c r="J47" s="24">
        <f ca="1">'101'!J47+'102'!J47+'103'!J47+'104'!J47+'105'!J47+'106'!J47+'107'!J47+'112'!J47</f>
        <v>0</v>
      </c>
      <c r="K47" s="24">
        <f ca="1">'101'!K47+'102'!K47+'103'!K47+'104'!K47+'105'!K47+'106'!K47+'107'!K47+'112'!K47</f>
        <v>0</v>
      </c>
      <c r="L47" s="24">
        <f ca="1">'101'!L47+'102'!L47+'103'!L47+'104'!L47+'105'!L47+'106'!L47+'107'!L47+'112'!L47</f>
        <v>0</v>
      </c>
      <c r="M47" s="24">
        <f ca="1">'101'!M47+'102'!M47+'103'!M47+'104'!M47+'105'!M47+'106'!M47+'107'!M47+'112'!M47</f>
        <v>0</v>
      </c>
      <c r="N47" s="24">
        <f ca="1">'101'!N47+'102'!N47+'103'!N47+'104'!N47+'105'!N47+'106'!N47+'107'!N47+'112'!N47</f>
        <v>0</v>
      </c>
      <c r="O47" s="24">
        <f ca="1">'101'!O47+'102'!O47+'103'!O47+'104'!O47+'105'!O47+'106'!O47+'107'!O47+'112'!O47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'101'!D48+'102'!D48+'103'!D48+'104'!D48+'105'!D48+'106'!D48+'107'!D48+'112'!D48</f>
        <v>318</v>
      </c>
      <c r="E48" s="24">
        <f ca="1">'101'!E48+'102'!E48+'103'!E48+'104'!E48+'105'!E48+'106'!E48+'107'!E48+'112'!E48</f>
        <v>0</v>
      </c>
      <c r="F48" s="24">
        <f ca="1">'101'!F48+'102'!F48+'103'!F48+'104'!F48+'105'!F48+'106'!F48+'107'!F48+'112'!F48</f>
        <v>0</v>
      </c>
      <c r="G48" s="24">
        <f ca="1">'101'!G48+'102'!G48+'103'!G48+'104'!G48+'105'!G48+'106'!G48+'107'!G48+'112'!G48</f>
        <v>0</v>
      </c>
      <c r="H48" s="24">
        <f ca="1">'101'!H48+'102'!H48+'103'!H48+'104'!H48+'105'!H48+'106'!H48+'107'!H48+'112'!H48</f>
        <v>0</v>
      </c>
      <c r="I48" s="24">
        <f ca="1">'101'!I48+'102'!I48+'103'!I48+'104'!I48+'105'!I48+'106'!I48+'107'!I48+'112'!I48</f>
        <v>0</v>
      </c>
      <c r="J48" s="24">
        <f ca="1">'101'!J48+'102'!J48+'103'!J48+'104'!J48+'105'!J48+'106'!J48+'107'!J48+'112'!J48</f>
        <v>0</v>
      </c>
      <c r="K48" s="24">
        <f ca="1">'101'!K48+'102'!K48+'103'!K48+'104'!K48+'105'!K48+'106'!K48+'107'!K48+'112'!K48</f>
        <v>0</v>
      </c>
      <c r="L48" s="24">
        <f ca="1">'101'!L48+'102'!L48+'103'!L48+'104'!L48+'105'!L48+'106'!L48+'107'!L48+'112'!L48</f>
        <v>0</v>
      </c>
      <c r="M48" s="24">
        <f ca="1">'101'!M48+'102'!M48+'103'!M48+'104'!M48+'105'!M48+'106'!M48+'107'!M48+'112'!M48</f>
        <v>0</v>
      </c>
      <c r="N48" s="24">
        <f ca="1">'101'!N48+'102'!N48+'103'!N48+'104'!N48+'105'!N48+'106'!N48+'107'!N48+'112'!N48</f>
        <v>0</v>
      </c>
      <c r="O48" s="24">
        <f ca="1">'101'!O48+'102'!O48+'103'!O48+'104'!O48+'105'!O48+'106'!O48+'107'!O48+'112'!O48</f>
        <v>0</v>
      </c>
    </row>
    <row r="49" spans="1:18">
      <c r="A49" s="27"/>
      <c r="B49" s="24"/>
      <c r="C49" s="33">
        <f>Справочник!J1</f>
        <v>2019</v>
      </c>
      <c r="D49" s="24">
        <f ca="1">'101'!D49+'102'!D49+'103'!D49+'104'!D49+'105'!D49+'106'!D49+'107'!D49+'112'!D49</f>
        <v>336</v>
      </c>
      <c r="E49" s="24">
        <f ca="1">'101'!E49+'102'!E49+'103'!E49+'104'!E49+'105'!E49+'106'!E49+'107'!E49+'112'!E49</f>
        <v>0</v>
      </c>
      <c r="F49" s="24">
        <f ca="1">'101'!F49+'102'!F49+'103'!F49+'104'!F49+'105'!F49+'106'!F49+'107'!F49+'112'!F49</f>
        <v>0</v>
      </c>
      <c r="G49" s="24">
        <f ca="1">'101'!G49+'102'!G49+'103'!G49+'104'!G49+'105'!G49+'106'!G49+'107'!G49+'112'!G49</f>
        <v>0</v>
      </c>
      <c r="H49" s="24">
        <f ca="1">'101'!H49+'102'!H49+'103'!H49+'104'!H49+'105'!H49+'106'!H49+'107'!H49+'112'!H49</f>
        <v>0</v>
      </c>
      <c r="I49" s="24">
        <f ca="1">'101'!I49+'102'!I49+'103'!I49+'104'!I49+'105'!I49+'106'!I49+'107'!I49+'112'!I49</f>
        <v>0</v>
      </c>
      <c r="J49" s="24">
        <f ca="1">'101'!J49+'102'!J49+'103'!J49+'104'!J49+'105'!J49+'106'!J49+'107'!J49+'112'!J49</f>
        <v>0</v>
      </c>
      <c r="K49" s="24">
        <f ca="1">'101'!K49+'102'!K49+'103'!K49+'104'!K49+'105'!K49+'106'!K49+'107'!K49+'112'!K49</f>
        <v>0</v>
      </c>
      <c r="L49" s="24">
        <f ca="1">'101'!L49+'102'!L49+'103'!L49+'104'!L49+'105'!L49+'106'!L49+'107'!L49+'112'!L49</f>
        <v>0</v>
      </c>
      <c r="M49" s="24">
        <f ca="1">'101'!M49+'102'!M49+'103'!M49+'104'!M49+'105'!M49+'106'!M49+'107'!M49+'112'!M49</f>
        <v>0</v>
      </c>
      <c r="N49" s="24">
        <f ca="1">'101'!N49+'102'!N49+'103'!N49+'104'!N49+'105'!N49+'106'!N49+'107'!N49+'112'!N49</f>
        <v>0</v>
      </c>
      <c r="O49" s="24">
        <f ca="1">'101'!O49+'102'!O49+'103'!O49+'104'!O49+'105'!O49+'106'!O49+'107'!O49+'112'!O49</f>
        <v>0</v>
      </c>
    </row>
    <row r="50" spans="1:18">
      <c r="A50" s="25" t="s">
        <v>150</v>
      </c>
      <c r="B50" s="24" t="s">
        <v>138</v>
      </c>
      <c r="C50" s="23">
        <f>Справочник!J2</f>
        <v>2018</v>
      </c>
      <c r="D50" s="24">
        <f ca="1">'101'!D50+'102'!D50+'103'!D50+'104'!D50+'105'!D50+'106'!D50+'107'!D50+'112'!D50</f>
        <v>645</v>
      </c>
      <c r="E50" s="24">
        <f ca="1">'101'!E50+'102'!E50+'103'!E50+'104'!E50+'105'!E50+'106'!E50+'107'!E50+'112'!E50</f>
        <v>0</v>
      </c>
      <c r="F50" s="24">
        <f ca="1">'101'!F50+'102'!F50+'103'!F50+'104'!F50+'105'!F50+'106'!F50+'107'!F50+'112'!F50</f>
        <v>0</v>
      </c>
      <c r="G50" s="24">
        <f ca="1">'101'!G50+'102'!G50+'103'!G50+'104'!G50+'105'!G50+'106'!G50+'107'!G50+'112'!G50</f>
        <v>0</v>
      </c>
      <c r="H50" s="24">
        <f ca="1">'101'!H50+'102'!H50+'103'!H50+'104'!H50+'105'!H50+'106'!H50+'107'!H50+'112'!H50</f>
        <v>0</v>
      </c>
      <c r="I50" s="24">
        <f ca="1">'101'!I50+'102'!I50+'103'!I50+'104'!I50+'105'!I50+'106'!I50+'107'!I50+'112'!I50</f>
        <v>0</v>
      </c>
      <c r="J50" s="24">
        <f ca="1">'101'!J50+'102'!J50+'103'!J50+'104'!J50+'105'!J50+'106'!J50+'107'!J50+'112'!J50</f>
        <v>0</v>
      </c>
      <c r="K50" s="24">
        <f ca="1">'101'!K50+'102'!K50+'103'!K50+'104'!K50+'105'!K50+'106'!K50+'107'!K50+'112'!K50</f>
        <v>0</v>
      </c>
      <c r="L50" s="24">
        <f ca="1">'101'!L50+'102'!L50+'103'!L50+'104'!L50+'105'!L50+'106'!L50+'107'!L50+'112'!L50</f>
        <v>0</v>
      </c>
      <c r="M50" s="24">
        <f ca="1">'101'!M50+'102'!M50+'103'!M50+'104'!M50+'105'!M50+'106'!M50+'107'!M50+'112'!M50</f>
        <v>0</v>
      </c>
      <c r="N50" s="24">
        <f ca="1">'101'!N50+'102'!N50+'103'!N50+'104'!N50+'105'!N50+'106'!N50+'107'!N50+'112'!N50</f>
        <v>0</v>
      </c>
      <c r="O50" s="24">
        <f ca="1">'101'!O50+'102'!O50+'103'!O50+'104'!O50+'105'!O50+'106'!O50+'107'!O50+'112'!O50</f>
        <v>0</v>
      </c>
    </row>
    <row r="51" spans="1:18">
      <c r="A51" s="27"/>
      <c r="B51" s="24"/>
      <c r="C51" s="33">
        <f>Справочник!J1</f>
        <v>2019</v>
      </c>
      <c r="D51" s="24">
        <f ca="1">'101'!D51+'102'!D51+'103'!D51+'104'!D51+'105'!D51+'106'!D51+'107'!D51+'112'!D51</f>
        <v>673</v>
      </c>
      <c r="E51" s="24">
        <f ca="1">'101'!E51+'102'!E51+'103'!E51+'104'!E51+'105'!E51+'106'!E51+'107'!E51+'112'!E51</f>
        <v>0</v>
      </c>
      <c r="F51" s="24">
        <f ca="1">'101'!F51+'102'!F51+'103'!F51+'104'!F51+'105'!F51+'106'!F51+'107'!F51+'112'!F51</f>
        <v>0</v>
      </c>
      <c r="G51" s="24">
        <f ca="1">'101'!G51+'102'!G51+'103'!G51+'104'!G51+'105'!G51+'106'!G51+'107'!G51+'112'!G51</f>
        <v>0</v>
      </c>
      <c r="H51" s="24">
        <f ca="1">'101'!H51+'102'!H51+'103'!H51+'104'!H51+'105'!H51+'106'!H51+'107'!H51+'112'!H51</f>
        <v>0</v>
      </c>
      <c r="I51" s="24">
        <f ca="1">'101'!I51+'102'!I51+'103'!I51+'104'!I51+'105'!I51+'106'!I51+'107'!I51+'112'!I51</f>
        <v>0</v>
      </c>
      <c r="J51" s="24">
        <f ca="1">'101'!J51+'102'!J51+'103'!J51+'104'!J51+'105'!J51+'106'!J51+'107'!J51+'112'!J51</f>
        <v>0</v>
      </c>
      <c r="K51" s="24">
        <f ca="1">'101'!K51+'102'!K51+'103'!K51+'104'!K51+'105'!K51+'106'!K51+'107'!K51+'112'!K51</f>
        <v>0</v>
      </c>
      <c r="L51" s="24">
        <f ca="1">'101'!L51+'102'!L51+'103'!L51+'104'!L51+'105'!L51+'106'!L51+'107'!L51+'112'!L51</f>
        <v>0</v>
      </c>
      <c r="M51" s="24">
        <f ca="1">'101'!M51+'102'!M51+'103'!M51+'104'!M51+'105'!M51+'106'!M51+'107'!M51+'112'!M51</f>
        <v>0</v>
      </c>
      <c r="N51" s="24">
        <f ca="1">'101'!N51+'102'!N51+'103'!N51+'104'!N51+'105'!N51+'106'!N51+'107'!N51+'112'!N51</f>
        <v>0</v>
      </c>
      <c r="O51" s="24">
        <f ca="1">'101'!O51+'102'!O51+'103'!O51+'104'!O51+'105'!O51+'106'!O51+'107'!O51+'112'!O51</f>
        <v>0</v>
      </c>
    </row>
    <row r="52" spans="1:18">
      <c r="A52" s="25" t="s">
        <v>152</v>
      </c>
      <c r="B52" s="24" t="s">
        <v>138</v>
      </c>
      <c r="C52" s="23">
        <f>Справочник!J2</f>
        <v>2018</v>
      </c>
      <c r="D52" s="24">
        <f ca="1">'101'!D52+'102'!D52+'103'!D52+'104'!D52+'105'!D52+'106'!D52+'107'!D52+'112'!D52</f>
        <v>393</v>
      </c>
      <c r="E52" s="24">
        <f ca="1">'101'!E52+'102'!E52+'103'!E52+'104'!E52+'105'!E52+'106'!E52+'107'!E52+'112'!E52</f>
        <v>0</v>
      </c>
      <c r="F52" s="24">
        <f ca="1">'101'!F52+'102'!F52+'103'!F52+'104'!F52+'105'!F52+'106'!F52+'107'!F52+'112'!F52</f>
        <v>0</v>
      </c>
      <c r="G52" s="24">
        <f ca="1">'101'!G52+'102'!G52+'103'!G52+'104'!G52+'105'!G52+'106'!G52+'107'!G52+'112'!G52</f>
        <v>0</v>
      </c>
      <c r="H52" s="24">
        <f ca="1">'101'!H52+'102'!H52+'103'!H52+'104'!H52+'105'!H52+'106'!H52+'107'!H52+'112'!H52</f>
        <v>0</v>
      </c>
      <c r="I52" s="24">
        <f ca="1">'101'!I52+'102'!I52+'103'!I52+'104'!I52+'105'!I52+'106'!I52+'107'!I52+'112'!I52</f>
        <v>0</v>
      </c>
      <c r="J52" s="24">
        <f ca="1">'101'!J52+'102'!J52+'103'!J52+'104'!J52+'105'!J52+'106'!J52+'107'!J52+'112'!J52</f>
        <v>0</v>
      </c>
      <c r="K52" s="24">
        <f ca="1">'101'!K52+'102'!K52+'103'!K52+'104'!K52+'105'!K52+'106'!K52+'107'!K52+'112'!K52</f>
        <v>0</v>
      </c>
      <c r="L52" s="24">
        <f ca="1">'101'!L52+'102'!L52+'103'!L52+'104'!L52+'105'!L52+'106'!L52+'107'!L52+'112'!L52</f>
        <v>0</v>
      </c>
      <c r="M52" s="24">
        <f ca="1">'101'!M52+'102'!M52+'103'!M52+'104'!M52+'105'!M52+'106'!M52+'107'!M52+'112'!M52</f>
        <v>0</v>
      </c>
      <c r="N52" s="24">
        <f ca="1">'101'!N52+'102'!N52+'103'!N52+'104'!N52+'105'!N52+'106'!N52+'107'!N52+'112'!N52</f>
        <v>0</v>
      </c>
      <c r="O52" s="24">
        <f ca="1">'101'!O52+'102'!O52+'103'!O52+'104'!O52+'105'!O52+'106'!O52+'107'!O52+'112'!O52</f>
        <v>0</v>
      </c>
    </row>
    <row r="53" spans="1:18">
      <c r="A53" s="27"/>
      <c r="B53" s="24"/>
      <c r="C53" s="33">
        <f>Справочник!J1</f>
        <v>2019</v>
      </c>
      <c r="D53" s="24">
        <f ca="1">'101'!D53+'102'!D53+'103'!D53+'104'!D53+'105'!D53+'106'!D53+'107'!D53+'112'!D53</f>
        <v>386</v>
      </c>
      <c r="E53" s="24">
        <f ca="1">'101'!E53+'102'!E53+'103'!E53+'104'!E53+'105'!E53+'106'!E53+'107'!E53+'112'!E53</f>
        <v>0</v>
      </c>
      <c r="F53" s="24">
        <f ca="1">'101'!F53+'102'!F53+'103'!F53+'104'!F53+'105'!F53+'106'!F53+'107'!F53+'112'!F53</f>
        <v>0</v>
      </c>
      <c r="G53" s="24">
        <f ca="1">'101'!G53+'102'!G53+'103'!G53+'104'!G53+'105'!G53+'106'!G53+'107'!G53+'112'!G53</f>
        <v>0</v>
      </c>
      <c r="H53" s="24">
        <f ca="1">'101'!H53+'102'!H53+'103'!H53+'104'!H53+'105'!H53+'106'!H53+'107'!H53+'112'!H53</f>
        <v>0</v>
      </c>
      <c r="I53" s="24">
        <f ca="1">'101'!I53+'102'!I53+'103'!I53+'104'!I53+'105'!I53+'106'!I53+'107'!I53+'112'!I53</f>
        <v>0</v>
      </c>
      <c r="J53" s="24">
        <f ca="1">'101'!J53+'102'!J53+'103'!J53+'104'!J53+'105'!J53+'106'!J53+'107'!J53+'112'!J53</f>
        <v>0</v>
      </c>
      <c r="K53" s="24">
        <f ca="1">'101'!K53+'102'!K53+'103'!K53+'104'!K53+'105'!K53+'106'!K53+'107'!K53+'112'!K53</f>
        <v>0</v>
      </c>
      <c r="L53" s="24">
        <f ca="1">'101'!L53+'102'!L53+'103'!L53+'104'!L53+'105'!L53+'106'!L53+'107'!L53+'112'!L53</f>
        <v>0</v>
      </c>
      <c r="M53" s="24">
        <f ca="1">'101'!M53+'102'!M53+'103'!M53+'104'!M53+'105'!M53+'106'!M53+'107'!M53+'112'!M53</f>
        <v>0</v>
      </c>
      <c r="N53" s="24">
        <f ca="1">'101'!N53+'102'!N53+'103'!N53+'104'!N53+'105'!N53+'106'!N53+'107'!N53+'112'!N53</f>
        <v>0</v>
      </c>
      <c r="O53" s="24">
        <f ca="1">'101'!O53+'102'!O53+'103'!O53+'104'!O53+'105'!O53+'106'!O53+'107'!O53+'112'!O53</f>
        <v>0</v>
      </c>
    </row>
    <row r="54" spans="1:18">
      <c r="A54" s="25" t="s">
        <v>153</v>
      </c>
      <c r="B54" s="24" t="s">
        <v>154</v>
      </c>
      <c r="C54" s="23">
        <f>Справочник!J2</f>
        <v>2018</v>
      </c>
      <c r="D54" s="24">
        <f ca="1">'101'!D54+'102'!D54+'103'!D54+'104'!D54+'105'!D54+'106'!D54+'107'!D54+'112'!D54</f>
        <v>0</v>
      </c>
      <c r="E54" s="24">
        <f ca="1">'101'!E54+'102'!E54+'103'!E54+'104'!E54+'105'!E54+'106'!E54+'107'!E54+'112'!E54</f>
        <v>0</v>
      </c>
      <c r="F54" s="24">
        <f ca="1">'101'!F54+'102'!F54+'103'!F54+'104'!F54+'105'!F54+'106'!F54+'107'!F54+'112'!F54</f>
        <v>0</v>
      </c>
      <c r="G54" s="24">
        <f ca="1">'101'!G54+'102'!G54+'103'!G54+'104'!G54+'105'!G54+'106'!G54+'107'!G54+'112'!G54</f>
        <v>0</v>
      </c>
      <c r="H54" s="24">
        <f ca="1">'101'!H54+'102'!H54+'103'!H54+'104'!H54+'105'!H54+'106'!H54+'107'!H54+'112'!H54</f>
        <v>0</v>
      </c>
      <c r="I54" s="24">
        <f ca="1">'101'!I54+'102'!I54+'103'!I54+'104'!I54+'105'!I54+'106'!I54+'107'!I54+'112'!I54</f>
        <v>0</v>
      </c>
      <c r="J54" s="24">
        <f ca="1">'101'!J54+'102'!J54+'103'!J54+'104'!J54+'105'!J54+'106'!J54+'107'!J54+'112'!J54</f>
        <v>0</v>
      </c>
      <c r="K54" s="24">
        <f ca="1">'101'!K54+'102'!K54+'103'!K54+'104'!K54+'105'!K54+'106'!K54+'107'!K54+'112'!K54</f>
        <v>0</v>
      </c>
      <c r="L54" s="24">
        <f ca="1">'101'!L54+'102'!L54+'103'!L54+'104'!L54+'105'!L54+'106'!L54+'107'!L54+'112'!L54</f>
        <v>0</v>
      </c>
      <c r="M54" s="24">
        <f ca="1">'101'!M54+'102'!M54+'103'!M54+'104'!M54+'105'!M54+'106'!M54+'107'!M54+'112'!M54</f>
        <v>0</v>
      </c>
      <c r="N54" s="24">
        <f ca="1">'101'!N54+'102'!N54+'103'!N54+'104'!N54+'105'!N54+'106'!N54+'107'!N54+'112'!N54</f>
        <v>0</v>
      </c>
      <c r="O54" s="24">
        <f ca="1">'101'!O54+'102'!O54+'103'!O54+'104'!O54+'105'!O54+'106'!O54+'107'!O54+'112'!O54</f>
        <v>0</v>
      </c>
    </row>
    <row r="55" spans="1:18">
      <c r="A55" s="27"/>
      <c r="B55" s="24"/>
      <c r="C55" s="33">
        <f>Справочник!J1</f>
        <v>2019</v>
      </c>
      <c r="D55" s="24">
        <f ca="1">'101'!D55+'102'!D55+'103'!D55+'104'!D55+'105'!D55+'106'!D55+'107'!D55+'112'!D55</f>
        <v>1</v>
      </c>
      <c r="E55" s="24">
        <f ca="1">'101'!E55+'102'!E55+'103'!E55+'104'!E55+'105'!E55+'106'!E55+'107'!E55+'112'!E55</f>
        <v>0</v>
      </c>
      <c r="F55" s="24">
        <f ca="1">'101'!F55+'102'!F55+'103'!F55+'104'!F55+'105'!F55+'106'!F55+'107'!F55+'112'!F55</f>
        <v>0</v>
      </c>
      <c r="G55" s="24">
        <f ca="1">'101'!G55+'102'!G55+'103'!G55+'104'!G55+'105'!G55+'106'!G55+'107'!G55+'112'!G55</f>
        <v>0</v>
      </c>
      <c r="H55" s="24">
        <f ca="1">'101'!H55+'102'!H55+'103'!H55+'104'!H55+'105'!H55+'106'!H55+'107'!H55+'112'!H55</f>
        <v>0</v>
      </c>
      <c r="I55" s="24">
        <f ca="1">'101'!I55+'102'!I55+'103'!I55+'104'!I55+'105'!I55+'106'!I55+'107'!I55+'112'!I55</f>
        <v>0</v>
      </c>
      <c r="J55" s="24">
        <f ca="1">'101'!J55+'102'!J55+'103'!J55+'104'!J55+'105'!J55+'106'!J55+'107'!J55+'112'!J55</f>
        <v>0</v>
      </c>
      <c r="K55" s="24">
        <f ca="1">'101'!K55+'102'!K55+'103'!K55+'104'!K55+'105'!K55+'106'!K55+'107'!K55+'112'!K55</f>
        <v>0</v>
      </c>
      <c r="L55" s="24">
        <f ca="1">'101'!L55+'102'!L55+'103'!L55+'104'!L55+'105'!L55+'106'!L55+'107'!L55+'112'!L55</f>
        <v>0</v>
      </c>
      <c r="M55" s="24">
        <f ca="1">'101'!M55+'102'!M55+'103'!M55+'104'!M55+'105'!M55+'106'!M55+'107'!M55+'112'!M55</f>
        <v>0</v>
      </c>
      <c r="N55" s="24">
        <f ca="1">'101'!N55+'102'!N55+'103'!N55+'104'!N55+'105'!N55+'106'!N55+'107'!N55+'112'!N55</f>
        <v>0</v>
      </c>
      <c r="O55" s="24">
        <f ca="1">'101'!O55+'102'!O55+'103'!O55+'104'!O55+'105'!O55+'106'!O55+'107'!O55+'112'!O55</f>
        <v>0</v>
      </c>
    </row>
    <row r="56" spans="1:18">
      <c r="A56" s="25" t="s">
        <v>365</v>
      </c>
      <c r="C56" s="23">
        <f>Справочник!J2</f>
        <v>2018</v>
      </c>
      <c r="D56" s="24">
        <f ca="1">'101'!D56+'102'!D56+'103'!D56+'104'!D56+'105'!D56+'106'!D56+'107'!D56+'112'!D56</f>
        <v>179</v>
      </c>
      <c r="E56" s="24">
        <f ca="1">'101'!E56+'102'!E56+'103'!E56+'104'!E56+'105'!E56+'106'!E56+'107'!E56+'112'!E56</f>
        <v>0</v>
      </c>
      <c r="F56" s="24">
        <f ca="1">'101'!F56+'102'!F56+'103'!F56+'104'!F56+'105'!F56+'106'!F56+'107'!F56+'112'!F56</f>
        <v>0</v>
      </c>
      <c r="G56" s="24">
        <f ca="1">'101'!G56+'102'!G56+'103'!G56+'104'!G56+'105'!G56+'106'!G56+'107'!G56+'112'!G56</f>
        <v>0</v>
      </c>
      <c r="H56" s="24">
        <f ca="1">'101'!H56+'102'!H56+'103'!H56+'104'!H56+'105'!H56+'106'!H56+'107'!H56+'112'!H56</f>
        <v>0</v>
      </c>
      <c r="I56" s="24">
        <f ca="1">'101'!I56+'102'!I56+'103'!I56+'104'!I56+'105'!I56+'106'!I56+'107'!I56+'112'!I56</f>
        <v>0</v>
      </c>
      <c r="J56" s="24">
        <f ca="1">'101'!J56+'102'!J56+'103'!J56+'104'!J56+'105'!J56+'106'!J56+'107'!J56+'112'!J56</f>
        <v>0</v>
      </c>
      <c r="K56" s="24">
        <f ca="1">'101'!K56+'102'!K56+'103'!K56+'104'!K56+'105'!K56+'106'!K56+'107'!K56+'112'!K56</f>
        <v>0</v>
      </c>
      <c r="L56" s="24">
        <f ca="1">'101'!L56+'102'!L56+'103'!L56+'104'!L56+'105'!L56+'106'!L56+'107'!L56+'112'!L56</f>
        <v>0</v>
      </c>
      <c r="M56" s="24">
        <f ca="1">'101'!M56+'102'!M56+'103'!M56+'104'!M56+'105'!M56+'106'!M56+'107'!M56+'112'!M56</f>
        <v>0</v>
      </c>
      <c r="N56" s="24">
        <f ca="1">'101'!N56+'102'!N56+'103'!N56+'104'!N56+'105'!N56+'106'!N56+'107'!N56+'112'!N56</f>
        <v>0</v>
      </c>
      <c r="O56" s="24">
        <f ca="1">'101'!O56+'102'!O56+'103'!O56+'104'!O56+'105'!O56+'106'!O56+'107'!O56+'112'!O56</f>
        <v>0</v>
      </c>
    </row>
    <row r="57" spans="1:18">
      <c r="A57" s="27"/>
      <c r="B57" s="24" t="s">
        <v>119</v>
      </c>
      <c r="C57" s="33">
        <f>Справочник!J1</f>
        <v>2019</v>
      </c>
      <c r="D57" s="24">
        <f ca="1">'101'!D57+'102'!D57+'103'!D57+'104'!D57+'105'!D57+'106'!D57+'107'!D57+'112'!D57</f>
        <v>82</v>
      </c>
      <c r="E57" s="24">
        <f ca="1">'101'!E57+'102'!E57+'103'!E57+'104'!E57+'105'!E57+'106'!E57+'107'!E57+'112'!E57</f>
        <v>0</v>
      </c>
      <c r="F57" s="24">
        <f ca="1">'101'!F57+'102'!F57+'103'!F57+'104'!F57+'105'!F57+'106'!F57+'107'!F57+'112'!F57</f>
        <v>0</v>
      </c>
      <c r="G57" s="24">
        <f ca="1">'101'!G57+'102'!G57+'103'!G57+'104'!G57+'105'!G57+'106'!G57+'107'!G57+'112'!G57</f>
        <v>0</v>
      </c>
      <c r="H57" s="24">
        <f ca="1">'101'!H57+'102'!H57+'103'!H57+'104'!H57+'105'!H57+'106'!H57+'107'!H57+'112'!H57</f>
        <v>0</v>
      </c>
      <c r="I57" s="24">
        <f ca="1">'101'!I57+'102'!I57+'103'!I57+'104'!I57+'105'!I57+'106'!I57+'107'!I57+'112'!I57</f>
        <v>0</v>
      </c>
      <c r="J57" s="24">
        <f ca="1">'101'!J57+'102'!J57+'103'!J57+'104'!J57+'105'!J57+'106'!J57+'107'!J57+'112'!J57</f>
        <v>0</v>
      </c>
      <c r="K57" s="24">
        <f ca="1">'101'!K57+'102'!K57+'103'!K57+'104'!K57+'105'!K57+'106'!K57+'107'!K57+'112'!K57</f>
        <v>0</v>
      </c>
      <c r="L57" s="24">
        <f ca="1">'101'!L57+'102'!L57+'103'!L57+'104'!L57+'105'!L57+'106'!L57+'107'!L57+'112'!L57</f>
        <v>0</v>
      </c>
      <c r="M57" s="24">
        <f ca="1">'101'!M57+'102'!M57+'103'!M57+'104'!M57+'105'!M57+'106'!M57+'107'!M57+'112'!M57</f>
        <v>0</v>
      </c>
      <c r="N57" s="24">
        <f ca="1">'101'!N57+'102'!N57+'103'!N57+'104'!N57+'105'!N57+'106'!N57+'107'!N57+'112'!N57</f>
        <v>0</v>
      </c>
      <c r="O57" s="24">
        <f ca="1">'101'!O57+'102'!O57+'103'!O57+'104'!O57+'105'!O57+'106'!O57+'107'!O57+'112'!O57</f>
        <v>0</v>
      </c>
    </row>
    <row r="58" spans="1:18">
      <c r="A58" s="25" t="s">
        <v>366</v>
      </c>
      <c r="B58" s="24" t="s">
        <v>169</v>
      </c>
      <c r="C58" s="23">
        <f>Справочник!J2</f>
        <v>2018</v>
      </c>
      <c r="D58" s="24">
        <f ca="1">'101'!D58+'102'!D58+'103'!D58+'104'!D58+'105'!D58+'106'!D58+'107'!D58+'112'!D58</f>
        <v>21</v>
      </c>
      <c r="E58" s="24">
        <f ca="1">'101'!E58+'102'!E58+'103'!E58+'104'!E58+'105'!E58+'106'!E58+'107'!E58+'112'!E58</f>
        <v>0</v>
      </c>
      <c r="F58" s="24">
        <f ca="1">'101'!F58+'102'!F58+'103'!F58+'104'!F58+'105'!F58+'106'!F58+'107'!F58+'112'!F58</f>
        <v>0</v>
      </c>
      <c r="G58" s="24">
        <f ca="1">'101'!G58+'102'!G58+'103'!G58+'104'!G58+'105'!G58+'106'!G58+'107'!G58+'112'!G58</f>
        <v>0</v>
      </c>
      <c r="H58" s="24">
        <f ca="1">'101'!H58+'102'!H58+'103'!H58+'104'!H58+'105'!H58+'106'!H58+'107'!H58+'112'!H58</f>
        <v>0</v>
      </c>
      <c r="I58" s="24">
        <f ca="1">'101'!I58+'102'!I58+'103'!I58+'104'!I58+'105'!I58+'106'!I58+'107'!I58+'112'!I58</f>
        <v>0</v>
      </c>
      <c r="J58" s="24">
        <f ca="1">'101'!J58+'102'!J58+'103'!J58+'104'!J58+'105'!J58+'106'!J58+'107'!J58+'112'!J58</f>
        <v>0</v>
      </c>
      <c r="K58" s="24">
        <f ca="1">'101'!K58+'102'!K58+'103'!K58+'104'!K58+'105'!K58+'106'!K58+'107'!K58+'112'!K58</f>
        <v>0</v>
      </c>
      <c r="L58" s="24">
        <f ca="1">'101'!L58+'102'!L58+'103'!L58+'104'!L58+'105'!L58+'106'!L58+'107'!L58+'112'!L58</f>
        <v>0</v>
      </c>
      <c r="M58" s="24">
        <f ca="1">'101'!M58+'102'!M58+'103'!M58+'104'!M58+'105'!M58+'106'!M58+'107'!M58+'112'!M58</f>
        <v>0</v>
      </c>
      <c r="N58" s="24">
        <f ca="1">'101'!N58+'102'!N58+'103'!N58+'104'!N58+'105'!N58+'106'!N58+'107'!N58+'112'!N58</f>
        <v>0</v>
      </c>
      <c r="O58" s="24">
        <f ca="1">'101'!O58+'102'!O58+'103'!O58+'104'!O58+'105'!O58+'106'!O58+'107'!O58+'112'!O58</f>
        <v>0</v>
      </c>
    </row>
    <row r="59" spans="1:18">
      <c r="A59" s="27"/>
      <c r="C59" s="33">
        <f>Справочник!J1</f>
        <v>2019</v>
      </c>
      <c r="D59" s="24">
        <f ca="1">'101'!D59+'102'!D59+'103'!D59+'104'!D59+'105'!D59+'106'!D59+'107'!D59+'112'!D59</f>
        <v>16</v>
      </c>
      <c r="E59" s="24">
        <f ca="1">'101'!E59+'102'!E59+'103'!E59+'104'!E59+'105'!E59+'106'!E59+'107'!E59+'112'!E59</f>
        <v>0</v>
      </c>
      <c r="F59" s="24">
        <f ca="1">'101'!F59+'102'!F59+'103'!F59+'104'!F59+'105'!F59+'106'!F59+'107'!F59+'112'!F59</f>
        <v>0</v>
      </c>
      <c r="G59" s="24">
        <f ca="1">'101'!G59+'102'!G59+'103'!G59+'104'!G59+'105'!G59+'106'!G59+'107'!G59+'112'!G59</f>
        <v>0</v>
      </c>
      <c r="H59" s="24">
        <f ca="1">'101'!H59+'102'!H59+'103'!H59+'104'!H59+'105'!H59+'106'!H59+'107'!H59+'112'!H59</f>
        <v>0</v>
      </c>
      <c r="I59" s="24">
        <f ca="1">'101'!I59+'102'!I59+'103'!I59+'104'!I59+'105'!I59+'106'!I59+'107'!I59+'112'!I59</f>
        <v>0</v>
      </c>
      <c r="J59" s="24">
        <f ca="1">'101'!J59+'102'!J59+'103'!J59+'104'!J59+'105'!J59+'106'!J59+'107'!J59+'112'!J59</f>
        <v>0</v>
      </c>
      <c r="K59" s="24">
        <f ca="1">'101'!K59+'102'!K59+'103'!K59+'104'!K59+'105'!K59+'106'!K59+'107'!K59+'112'!K59</f>
        <v>0</v>
      </c>
      <c r="L59" s="24">
        <f ca="1">'101'!L59+'102'!L59+'103'!L59+'104'!L59+'105'!L59+'106'!L59+'107'!L59+'112'!L59</f>
        <v>0</v>
      </c>
      <c r="M59" s="24">
        <f ca="1">'101'!M59+'102'!M59+'103'!M59+'104'!M59+'105'!M59+'106'!M59+'107'!M59+'112'!M59</f>
        <v>0</v>
      </c>
      <c r="N59" s="24">
        <f ca="1">'101'!N59+'102'!N59+'103'!N59+'104'!N59+'105'!N59+'106'!N59+'107'!N59+'112'!N59</f>
        <v>0</v>
      </c>
      <c r="O59" s="24">
        <f ca="1">'101'!O59+'102'!O59+'103'!O59+'104'!O59+'105'!O59+'106'!O59+'107'!O59+'112'!O59</f>
        <v>0</v>
      </c>
    </row>
    <row r="60" spans="1:18" ht="15.75" thickBot="1">
      <c r="A60" s="2" t="s">
        <v>371</v>
      </c>
    </row>
    <row r="61" spans="1:18">
      <c r="A61" s="87" t="s">
        <v>21</v>
      </c>
      <c r="B61" s="88"/>
      <c r="C61" s="89">
        <f>Справочник!J2</f>
        <v>2018</v>
      </c>
      <c r="D61" s="24">
        <f ca="1">'101'!D61+'102'!D61+'103'!D61+'104'!D61+'105'!D61+'106'!D61+'107'!D61+'112'!D61</f>
        <v>595</v>
      </c>
      <c r="E61" s="24">
        <f ca="1">'101'!E61+'102'!E61+'103'!E61+'104'!E61+'105'!E61+'106'!E61+'107'!E61+'112'!E61</f>
        <v>0</v>
      </c>
      <c r="F61" s="24">
        <f ca="1">'101'!F61+'102'!F61+'103'!F61+'104'!F61+'105'!F61+'106'!F61+'107'!F61+'112'!F61</f>
        <v>0</v>
      </c>
      <c r="G61" s="24">
        <f ca="1">'101'!G61+'102'!G61+'103'!G61+'104'!G61+'105'!G61+'106'!G61+'107'!G61+'112'!G61</f>
        <v>0</v>
      </c>
      <c r="H61" s="24">
        <f ca="1">'101'!H61+'102'!H61+'103'!H61+'104'!H61+'105'!H61+'106'!H61+'107'!H61+'112'!H61</f>
        <v>0</v>
      </c>
      <c r="I61" s="24">
        <f ca="1">'101'!I61+'102'!I61+'103'!I61+'104'!I61+'105'!I61+'106'!I61+'107'!I61+'112'!I61</f>
        <v>0</v>
      </c>
      <c r="J61" s="24">
        <f ca="1">'101'!J61+'102'!J61+'103'!J61+'104'!J61+'105'!J61+'106'!J61+'107'!J61+'112'!J61</f>
        <v>0</v>
      </c>
      <c r="K61" s="24">
        <f ca="1">'101'!K61+'102'!K61+'103'!K61+'104'!K61+'105'!K61+'106'!K61+'107'!K61+'112'!K61</f>
        <v>0</v>
      </c>
      <c r="L61" s="24">
        <f ca="1">'101'!L61+'102'!L61+'103'!L61+'104'!L61+'105'!L61+'106'!L61+'107'!L61+'112'!L61</f>
        <v>0</v>
      </c>
      <c r="M61" s="24">
        <f ca="1">'101'!M61+'102'!M61+'103'!M61+'104'!M61+'105'!M61+'106'!M61+'107'!M61+'112'!M61</f>
        <v>0</v>
      </c>
      <c r="N61" s="24">
        <f ca="1">'101'!N61+'102'!N61+'103'!N61+'104'!N61+'105'!N61+'106'!N61+'107'!N61+'112'!N61</f>
        <v>0</v>
      </c>
      <c r="O61" s="24">
        <f ca="1">'101'!O61+'102'!O61+'103'!O61+'104'!O61+'105'!O61+'106'!O61+'107'!O61+'112'!O61</f>
        <v>0</v>
      </c>
      <c r="R61" s="90"/>
    </row>
    <row r="62" spans="1:18">
      <c r="A62" s="91" t="s">
        <v>372</v>
      </c>
      <c r="B62" s="92"/>
      <c r="C62" s="92"/>
      <c r="D62" s="24">
        <f ca="1">'101'!D62+'102'!D62+'103'!D62+'104'!D62+'105'!D62+'106'!D62+'107'!D62+'112'!D62</f>
        <v>1046</v>
      </c>
      <c r="E62" s="24">
        <f ca="1">'101'!E62+'102'!E62+'103'!E62+'104'!E62+'105'!E62+'106'!E62+'107'!E62+'112'!E62</f>
        <v>0</v>
      </c>
      <c r="F62" s="24">
        <f ca="1">'101'!F62+'102'!F62+'103'!F62+'104'!F62+'105'!F62+'106'!F62+'107'!F62+'112'!F62</f>
        <v>0</v>
      </c>
      <c r="G62" s="24">
        <f ca="1">'101'!G62+'102'!G62+'103'!G62+'104'!G62+'105'!G62+'106'!G62+'107'!G62+'112'!G62</f>
        <v>0</v>
      </c>
      <c r="H62" s="24">
        <f ca="1">'101'!H62+'102'!H62+'103'!H62+'104'!H62+'105'!H62+'106'!H62+'107'!H62+'112'!H62</f>
        <v>0</v>
      </c>
      <c r="I62" s="24">
        <f ca="1">'101'!I62+'102'!I62+'103'!I62+'104'!I62+'105'!I62+'106'!I62+'107'!I62+'112'!I62</f>
        <v>0</v>
      </c>
      <c r="J62" s="24">
        <f ca="1">'101'!J62+'102'!J62+'103'!J62+'104'!J62+'105'!J62+'106'!J62+'107'!J62+'112'!J62</f>
        <v>0</v>
      </c>
      <c r="K62" s="24">
        <f ca="1">'101'!K62+'102'!K62+'103'!K62+'104'!K62+'105'!K62+'106'!K62+'107'!K62+'112'!K62</f>
        <v>0</v>
      </c>
      <c r="L62" s="24">
        <f ca="1">'101'!L62+'102'!L62+'103'!L62+'104'!L62+'105'!L62+'106'!L62+'107'!L62+'112'!L62</f>
        <v>0</v>
      </c>
      <c r="M62" s="24">
        <f ca="1">'101'!M62+'102'!M62+'103'!M62+'104'!M62+'105'!M62+'106'!M62+'107'!M62+'112'!M62</f>
        <v>0</v>
      </c>
      <c r="N62" s="24">
        <f ca="1">'101'!N62+'102'!N62+'103'!N62+'104'!N62+'105'!N62+'106'!N62+'107'!N62+'112'!N62</f>
        <v>0</v>
      </c>
      <c r="O62" s="24">
        <f ca="1">'101'!O62+'102'!O62+'103'!O62+'104'!O62+'105'!O62+'106'!O62+'107'!O62+'112'!O62</f>
        <v>0</v>
      </c>
    </row>
    <row r="63" spans="1:18">
      <c r="A63" s="91" t="s">
        <v>176</v>
      </c>
      <c r="B63" s="92"/>
      <c r="C63" s="92">
        <f>C61</f>
        <v>2018</v>
      </c>
      <c r="D63" s="94">
        <f ca="1">IFERROR(D61/(D61+D62),0)</f>
        <v>0.36258379037172456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8">
      <c r="A64" s="96"/>
      <c r="B64" s="97"/>
      <c r="C64" s="98">
        <f>Справочник!J1</f>
        <v>2019</v>
      </c>
      <c r="D64" s="24">
        <f ca="1">'101'!D64+'102'!D64+'103'!D64+'104'!D64+'105'!D64+'106'!D64+'107'!D64+'112'!D64</f>
        <v>579</v>
      </c>
      <c r="E64" s="24">
        <f ca="1">'101'!E64+'102'!E64+'103'!E64+'104'!E64+'105'!E64+'106'!E64+'107'!E64+'112'!E64</f>
        <v>0</v>
      </c>
      <c r="F64" s="24">
        <f ca="1">'101'!F64+'102'!F64+'103'!F64+'104'!F64+'105'!F64+'106'!F64+'107'!F64+'112'!F64</f>
        <v>0</v>
      </c>
      <c r="G64" s="24">
        <f ca="1">'101'!G64+'102'!G64+'103'!G64+'104'!G64+'105'!G64+'106'!G64+'107'!G64+'112'!G64</f>
        <v>0</v>
      </c>
      <c r="H64" s="24">
        <f ca="1">'101'!H64+'102'!H64+'103'!H64+'104'!H64+'105'!H64+'106'!H64+'107'!H64+'112'!H64</f>
        <v>0</v>
      </c>
      <c r="I64" s="24">
        <f ca="1">'101'!I64+'102'!I64+'103'!I64+'104'!I64+'105'!I64+'106'!I64+'107'!I64+'112'!I64</f>
        <v>0</v>
      </c>
      <c r="J64" s="24">
        <f ca="1">'101'!J64+'102'!J64+'103'!J64+'104'!J64+'105'!J64+'106'!J64+'107'!J64+'112'!J64</f>
        <v>0</v>
      </c>
      <c r="K64" s="24">
        <f ca="1">'101'!K64+'102'!K64+'103'!K64+'104'!K64+'105'!K64+'106'!K64+'107'!K64+'112'!K64</f>
        <v>0</v>
      </c>
      <c r="L64" s="24">
        <f ca="1">'101'!L64+'102'!L64+'103'!L64+'104'!L64+'105'!L64+'106'!L64+'107'!L64+'112'!L64</f>
        <v>0</v>
      </c>
      <c r="M64" s="24">
        <f ca="1">'101'!M64+'102'!M64+'103'!M64+'104'!M64+'105'!M64+'106'!M64+'107'!M64+'112'!M64</f>
        <v>0</v>
      </c>
      <c r="N64" s="24">
        <f ca="1">'101'!N64+'102'!N64+'103'!N64+'104'!N64+'105'!N64+'106'!N64+'107'!N64+'112'!N64</f>
        <v>0</v>
      </c>
      <c r="O64" s="24">
        <f ca="1">'101'!O64+'102'!O64+'103'!O64+'104'!O64+'105'!O64+'106'!O64+'107'!O64+'112'!O64</f>
        <v>0</v>
      </c>
    </row>
    <row r="65" spans="1:15">
      <c r="A65" s="100" t="s">
        <v>372</v>
      </c>
      <c r="B65" s="97"/>
      <c r="C65" s="97"/>
      <c r="D65" s="24">
        <f ca="1">'101'!D65+'102'!D65+'103'!D65+'104'!D65+'105'!D65+'106'!D65+'107'!D65+'112'!D65</f>
        <v>922</v>
      </c>
      <c r="E65" s="24">
        <f ca="1">'101'!E65+'102'!E65+'103'!E65+'104'!E65+'105'!E65+'106'!E65+'107'!E65+'112'!E65</f>
        <v>0</v>
      </c>
      <c r="F65" s="24">
        <f ca="1">'101'!F65+'102'!F65+'103'!F65+'104'!F65+'105'!F65+'106'!F65+'107'!F65+'112'!F65</f>
        <v>0</v>
      </c>
      <c r="G65" s="24">
        <f ca="1">'101'!G65+'102'!G65+'103'!G65+'104'!G65+'105'!G65+'106'!G65+'107'!G65+'112'!G65</f>
        <v>0</v>
      </c>
      <c r="H65" s="24">
        <f ca="1">'101'!H65+'102'!H65+'103'!H65+'104'!H65+'105'!H65+'106'!H65+'107'!H65+'112'!H65</f>
        <v>0</v>
      </c>
      <c r="I65" s="24">
        <f ca="1">'101'!I65+'102'!I65+'103'!I65+'104'!I65+'105'!I65+'106'!I65+'107'!I65+'112'!I65</f>
        <v>0</v>
      </c>
      <c r="J65" s="24">
        <f ca="1">'101'!J65+'102'!J65+'103'!J65+'104'!J65+'105'!J65+'106'!J65+'107'!J65+'112'!J65</f>
        <v>0</v>
      </c>
      <c r="K65" s="24">
        <f ca="1">'101'!K65+'102'!K65+'103'!K65+'104'!K65+'105'!K65+'106'!K65+'107'!K65+'112'!K65</f>
        <v>0</v>
      </c>
      <c r="L65" s="24">
        <f ca="1">'101'!L65+'102'!L65+'103'!L65+'104'!L65+'105'!L65+'106'!L65+'107'!L65+'112'!L65</f>
        <v>0</v>
      </c>
      <c r="M65" s="24">
        <f ca="1">'101'!M65+'102'!M65+'103'!M65+'104'!M65+'105'!M65+'106'!M65+'107'!M65+'112'!M65</f>
        <v>0</v>
      </c>
      <c r="N65" s="24">
        <f ca="1">'101'!N65+'102'!N65+'103'!N65+'104'!N65+'105'!N65+'106'!N65+'107'!N65+'112'!N65</f>
        <v>0</v>
      </c>
      <c r="O65" s="24">
        <f ca="1">'101'!O65+'102'!O65+'103'!O65+'104'!O65+'105'!O65+'106'!O65+'107'!O65+'112'!O65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0.38574283810792803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24">
        <f ca="1">'101'!D67+'102'!D67+'103'!D67+'104'!D67+'105'!D67+'106'!D67+'107'!D67+'112'!D67</f>
        <v>179</v>
      </c>
      <c r="E67" s="24">
        <f ca="1">'101'!E67+'102'!E67+'103'!E67+'104'!E67+'105'!E67+'106'!E67+'107'!E67+'112'!E67</f>
        <v>0</v>
      </c>
      <c r="F67" s="24">
        <f ca="1">'101'!F67+'102'!F67+'103'!F67+'104'!F67+'105'!F67+'106'!F67+'107'!F67+'112'!F67</f>
        <v>0</v>
      </c>
      <c r="G67" s="24">
        <f ca="1">'101'!G67+'102'!G67+'103'!G67+'104'!G67+'105'!G67+'106'!G67+'107'!G67+'112'!G67</f>
        <v>0</v>
      </c>
      <c r="H67" s="24">
        <f ca="1">'101'!H67+'102'!H67+'103'!H67+'104'!H67+'105'!H67+'106'!H67+'107'!H67+'112'!H67</f>
        <v>0</v>
      </c>
      <c r="I67" s="24">
        <f ca="1">'101'!I67+'102'!I67+'103'!I67+'104'!I67+'105'!I67+'106'!I67+'107'!I67+'112'!I67</f>
        <v>0</v>
      </c>
      <c r="J67" s="24">
        <f ca="1">'101'!J67+'102'!J67+'103'!J67+'104'!J67+'105'!J67+'106'!J67+'107'!J67+'112'!J67</f>
        <v>0</v>
      </c>
      <c r="K67" s="24">
        <f ca="1">'101'!K67+'102'!K67+'103'!K67+'104'!K67+'105'!K67+'106'!K67+'107'!K67+'112'!K67</f>
        <v>0</v>
      </c>
      <c r="L67" s="24">
        <f ca="1">'101'!L67+'102'!L67+'103'!L67+'104'!L67+'105'!L67+'106'!L67+'107'!L67+'112'!L67</f>
        <v>0</v>
      </c>
      <c r="M67" s="24">
        <f ca="1">'101'!M67+'102'!M67+'103'!M67+'104'!M67+'105'!M67+'106'!M67+'107'!M67+'112'!M67</f>
        <v>0</v>
      </c>
      <c r="N67" s="24">
        <f ca="1">'101'!N67+'102'!N67+'103'!N67+'104'!N67+'105'!N67+'106'!N67+'107'!N67+'112'!N67</f>
        <v>0</v>
      </c>
      <c r="O67" s="24">
        <f ca="1">'101'!O67+'102'!O67+'103'!O67+'104'!O67+'105'!O67+'106'!O67+'107'!O67+'112'!O67</f>
        <v>0</v>
      </c>
    </row>
    <row r="68" spans="1:15">
      <c r="A68" s="91" t="s">
        <v>372</v>
      </c>
      <c r="B68" s="92"/>
      <c r="C68" s="92"/>
      <c r="D68" s="24">
        <f ca="1">'101'!D68+'102'!D68+'103'!D68+'104'!D68+'105'!D68+'106'!D68+'107'!D68+'112'!D68</f>
        <v>173</v>
      </c>
      <c r="E68" s="24">
        <f ca="1">'101'!E68+'102'!E68+'103'!E68+'104'!E68+'105'!E68+'106'!E68+'107'!E68+'112'!E68</f>
        <v>0</v>
      </c>
      <c r="F68" s="24">
        <f ca="1">'101'!F68+'102'!F68+'103'!F68+'104'!F68+'105'!F68+'106'!F68+'107'!F68+'112'!F68</f>
        <v>0</v>
      </c>
      <c r="G68" s="24">
        <f ca="1">'101'!G68+'102'!G68+'103'!G68+'104'!G68+'105'!G68+'106'!G68+'107'!G68+'112'!G68</f>
        <v>0</v>
      </c>
      <c r="H68" s="24">
        <f ca="1">'101'!H68+'102'!H68+'103'!H68+'104'!H68+'105'!H68+'106'!H68+'107'!H68+'112'!H68</f>
        <v>0</v>
      </c>
      <c r="I68" s="24">
        <f ca="1">'101'!I68+'102'!I68+'103'!I68+'104'!I68+'105'!I68+'106'!I68+'107'!I68+'112'!I68</f>
        <v>0</v>
      </c>
      <c r="J68" s="24">
        <f ca="1">'101'!J68+'102'!J68+'103'!J68+'104'!J68+'105'!J68+'106'!J68+'107'!J68+'112'!J68</f>
        <v>0</v>
      </c>
      <c r="K68" s="24">
        <f ca="1">'101'!K68+'102'!K68+'103'!K68+'104'!K68+'105'!K68+'106'!K68+'107'!K68+'112'!K68</f>
        <v>0</v>
      </c>
      <c r="L68" s="24">
        <f ca="1">'101'!L68+'102'!L68+'103'!L68+'104'!L68+'105'!L68+'106'!L68+'107'!L68+'112'!L68</f>
        <v>0</v>
      </c>
      <c r="M68" s="24">
        <f ca="1">'101'!M68+'102'!M68+'103'!M68+'104'!M68+'105'!M68+'106'!M68+'107'!M68+'112'!M68</f>
        <v>0</v>
      </c>
      <c r="N68" s="24">
        <f ca="1">'101'!N68+'102'!N68+'103'!N68+'104'!N68+'105'!N68+'106'!N68+'107'!N68+'112'!N68</f>
        <v>0</v>
      </c>
      <c r="O68" s="24">
        <f ca="1">'101'!O68+'102'!O68+'103'!O68+'104'!O68+'105'!O68+'106'!O68+'107'!O68+'112'!O68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0.50852272727272729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24">
        <f ca="1">'101'!D70+'102'!D70+'103'!D70+'104'!D70+'105'!D70+'106'!D70+'107'!D70+'112'!D70</f>
        <v>82</v>
      </c>
      <c r="E70" s="24">
        <f ca="1">'101'!E70+'102'!E70+'103'!E70+'104'!E70+'105'!E70+'106'!E70+'107'!E70+'112'!E70</f>
        <v>0</v>
      </c>
      <c r="F70" s="24">
        <f ca="1">'101'!F70+'102'!F70+'103'!F70+'104'!F70+'105'!F70+'106'!F70+'107'!F70+'112'!F70</f>
        <v>0</v>
      </c>
      <c r="G70" s="24">
        <f ca="1">'101'!G70+'102'!G70+'103'!G70+'104'!G70+'105'!G70+'106'!G70+'107'!G70+'112'!G70</f>
        <v>0</v>
      </c>
      <c r="H70" s="24">
        <f ca="1">'101'!H70+'102'!H70+'103'!H70+'104'!H70+'105'!H70+'106'!H70+'107'!H70+'112'!H70</f>
        <v>0</v>
      </c>
      <c r="I70" s="24">
        <f ca="1">'101'!I70+'102'!I70+'103'!I70+'104'!I70+'105'!I70+'106'!I70+'107'!I70+'112'!I70</f>
        <v>0</v>
      </c>
      <c r="J70" s="24">
        <f ca="1">'101'!J70+'102'!J70+'103'!J70+'104'!J70+'105'!J70+'106'!J70+'107'!J70+'112'!J70</f>
        <v>0</v>
      </c>
      <c r="K70" s="24">
        <f ca="1">'101'!K70+'102'!K70+'103'!K70+'104'!K70+'105'!K70+'106'!K70+'107'!K70+'112'!K70</f>
        <v>0</v>
      </c>
      <c r="L70" s="24">
        <f ca="1">'101'!L70+'102'!L70+'103'!L70+'104'!L70+'105'!L70+'106'!L70+'107'!L70+'112'!L70</f>
        <v>0</v>
      </c>
      <c r="M70" s="24">
        <f ca="1">'101'!M70+'102'!M70+'103'!M70+'104'!M70+'105'!M70+'106'!M70+'107'!M70+'112'!M70</f>
        <v>0</v>
      </c>
      <c r="N70" s="24">
        <f ca="1">'101'!N70+'102'!N70+'103'!N70+'104'!N70+'105'!N70+'106'!N70+'107'!N70+'112'!N70</f>
        <v>0</v>
      </c>
      <c r="O70" s="24">
        <f ca="1">'101'!O70+'102'!O70+'103'!O70+'104'!O70+'105'!O70+'106'!O70+'107'!O70+'112'!O70</f>
        <v>0</v>
      </c>
    </row>
    <row r="71" spans="1:15">
      <c r="A71" s="100" t="s">
        <v>372</v>
      </c>
      <c r="B71" s="97"/>
      <c r="C71" s="97"/>
      <c r="D71" s="24">
        <f ca="1">'101'!D71+'102'!D71+'103'!D71+'104'!D71+'105'!D71+'106'!D71+'107'!D71+'112'!D71</f>
        <v>210</v>
      </c>
      <c r="E71" s="24">
        <f ca="1">'101'!E71+'102'!E71+'103'!E71+'104'!E71+'105'!E71+'106'!E71+'107'!E71+'112'!E71</f>
        <v>0</v>
      </c>
      <c r="F71" s="24">
        <f ca="1">'101'!F71+'102'!F71+'103'!F71+'104'!F71+'105'!F71+'106'!F71+'107'!F71+'112'!F71</f>
        <v>0</v>
      </c>
      <c r="G71" s="24">
        <f ca="1">'101'!G71+'102'!G71+'103'!G71+'104'!G71+'105'!G71+'106'!G71+'107'!G71+'112'!G71</f>
        <v>0</v>
      </c>
      <c r="H71" s="24">
        <f ca="1">'101'!H71+'102'!H71+'103'!H71+'104'!H71+'105'!H71+'106'!H71+'107'!H71+'112'!H71</f>
        <v>0</v>
      </c>
      <c r="I71" s="24">
        <f ca="1">'101'!I71+'102'!I71+'103'!I71+'104'!I71+'105'!I71+'106'!I71+'107'!I71+'112'!I71</f>
        <v>0</v>
      </c>
      <c r="J71" s="24">
        <f ca="1">'101'!J71+'102'!J71+'103'!J71+'104'!J71+'105'!J71+'106'!J71+'107'!J71+'112'!J71</f>
        <v>0</v>
      </c>
      <c r="K71" s="24">
        <f ca="1">'101'!K71+'102'!K71+'103'!K71+'104'!K71+'105'!K71+'106'!K71+'107'!K71+'112'!K71</f>
        <v>0</v>
      </c>
      <c r="L71" s="24">
        <f ca="1">'101'!L71+'102'!L71+'103'!L71+'104'!L71+'105'!L71+'106'!L71+'107'!L71+'112'!L71</f>
        <v>0</v>
      </c>
      <c r="M71" s="24">
        <f ca="1">'101'!M71+'102'!M71+'103'!M71+'104'!M71+'105'!M71+'106'!M71+'107'!M71+'112'!M71</f>
        <v>0</v>
      </c>
      <c r="N71" s="24">
        <f ca="1">'101'!N71+'102'!N71+'103'!N71+'104'!N71+'105'!N71+'106'!N71+'107'!N71+'112'!N71</f>
        <v>0</v>
      </c>
      <c r="O71" s="24">
        <f ca="1">'101'!O71+'102'!O71+'103'!O71+'104'!O71+'105'!O71+'106'!O71+'107'!O71+'112'!O71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0.28082191780821919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24">
        <f ca="1">'101'!D73+'102'!D73+'103'!D73+'104'!D73+'105'!D73+'106'!D73+'107'!D73+'112'!D73</f>
        <v>4</v>
      </c>
      <c r="E73" s="24">
        <f ca="1">'101'!E73+'102'!E73+'103'!E73+'104'!E73+'105'!E73+'106'!E73+'107'!E73+'112'!E73</f>
        <v>0</v>
      </c>
      <c r="F73" s="24">
        <f ca="1">'101'!F73+'102'!F73+'103'!F73+'104'!F73+'105'!F73+'106'!F73+'107'!F73+'112'!F73</f>
        <v>0</v>
      </c>
      <c r="G73" s="24">
        <f ca="1">'101'!G73+'102'!G73+'103'!G73+'104'!G73+'105'!G73+'106'!G73+'107'!G73+'112'!G73</f>
        <v>0</v>
      </c>
      <c r="H73" s="24">
        <f ca="1">'101'!H73+'102'!H73+'103'!H73+'104'!H73+'105'!H73+'106'!H73+'107'!H73+'112'!H73</f>
        <v>0</v>
      </c>
      <c r="I73" s="24">
        <f ca="1">'101'!I73+'102'!I73+'103'!I73+'104'!I73+'105'!I73+'106'!I73+'107'!I73+'112'!I73</f>
        <v>0</v>
      </c>
      <c r="J73" s="24">
        <f ca="1">'101'!J73+'102'!J73+'103'!J73+'104'!J73+'105'!J73+'106'!J73+'107'!J73+'112'!J73</f>
        <v>0</v>
      </c>
      <c r="K73" s="24">
        <f ca="1">'101'!K73+'102'!K73+'103'!K73+'104'!K73+'105'!K73+'106'!K73+'107'!K73+'112'!K73</f>
        <v>0</v>
      </c>
      <c r="L73" s="24">
        <f ca="1">'101'!L73+'102'!L73+'103'!L73+'104'!L73+'105'!L73+'106'!L73+'107'!L73+'112'!L73</f>
        <v>0</v>
      </c>
      <c r="M73" s="24">
        <f ca="1">'101'!M73+'102'!M73+'103'!M73+'104'!M73+'105'!M73+'106'!M73+'107'!M73+'112'!M73</f>
        <v>0</v>
      </c>
      <c r="N73" s="24">
        <f ca="1">'101'!N73+'102'!N73+'103'!N73+'104'!N73+'105'!N73+'106'!N73+'107'!N73+'112'!N73</f>
        <v>0</v>
      </c>
      <c r="O73" s="24">
        <f ca="1">'101'!O73+'102'!O73+'103'!O73+'104'!O73+'105'!O73+'106'!O73+'107'!O73+'112'!O73</f>
        <v>0</v>
      </c>
    </row>
    <row r="74" spans="1:15">
      <c r="A74" s="91" t="s">
        <v>372</v>
      </c>
      <c r="B74" s="92"/>
      <c r="C74" s="92"/>
      <c r="D74" s="24">
        <f ca="1">'101'!D74+'102'!D74+'103'!D74+'104'!D74+'105'!D74+'106'!D74+'107'!D74+'112'!D74</f>
        <v>0</v>
      </c>
      <c r="E74" s="24">
        <f ca="1">'101'!E74+'102'!E74+'103'!E74+'104'!E74+'105'!E74+'106'!E74+'107'!E74+'112'!E74</f>
        <v>0</v>
      </c>
      <c r="F74" s="24">
        <f ca="1">'101'!F74+'102'!F74+'103'!F74+'104'!F74+'105'!F74+'106'!F74+'107'!F74+'112'!F74</f>
        <v>0</v>
      </c>
      <c r="G74" s="24">
        <f ca="1">'101'!G74+'102'!G74+'103'!G74+'104'!G74+'105'!G74+'106'!G74+'107'!G74+'112'!G74</f>
        <v>0</v>
      </c>
      <c r="H74" s="24">
        <f ca="1">'101'!H74+'102'!H74+'103'!H74+'104'!H74+'105'!H74+'106'!H74+'107'!H74+'112'!H74</f>
        <v>0</v>
      </c>
      <c r="I74" s="24">
        <f ca="1">'101'!I74+'102'!I74+'103'!I74+'104'!I74+'105'!I74+'106'!I74+'107'!I74+'112'!I74</f>
        <v>0</v>
      </c>
      <c r="J74" s="24">
        <f ca="1">'101'!J74+'102'!J74+'103'!J74+'104'!J74+'105'!J74+'106'!J74+'107'!J74+'112'!J74</f>
        <v>0</v>
      </c>
      <c r="K74" s="24">
        <f ca="1">'101'!K74+'102'!K74+'103'!K74+'104'!K74+'105'!K74+'106'!K74+'107'!K74+'112'!K74</f>
        <v>0</v>
      </c>
      <c r="L74" s="24">
        <f ca="1">'101'!L74+'102'!L74+'103'!L74+'104'!L74+'105'!L74+'106'!L74+'107'!L74+'112'!L74</f>
        <v>0</v>
      </c>
      <c r="M74" s="24">
        <f ca="1">'101'!M74+'102'!M74+'103'!M74+'104'!M74+'105'!M74+'106'!M74+'107'!M74+'112'!M74</f>
        <v>0</v>
      </c>
      <c r="N74" s="24">
        <f ca="1">'101'!N74+'102'!N74+'103'!N74+'104'!N74+'105'!N74+'106'!N74+'107'!N74+'112'!N74</f>
        <v>0</v>
      </c>
      <c r="O74" s="24">
        <f ca="1">'101'!O74+'102'!O74+'103'!O74+'104'!O74+'105'!O74+'106'!O74+'107'!O74+'112'!O74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24">
        <f ca="1">'101'!D76+'102'!D76+'103'!D76+'104'!D76+'105'!D76+'106'!D76+'107'!D76+'112'!D76</f>
        <v>3</v>
      </c>
      <c r="E76" s="24">
        <f ca="1">'101'!E76+'102'!E76+'103'!E76+'104'!E76+'105'!E76+'106'!E76+'107'!E76+'112'!E76</f>
        <v>0</v>
      </c>
      <c r="F76" s="24">
        <f ca="1">'101'!F76+'102'!F76+'103'!F76+'104'!F76+'105'!F76+'106'!F76+'107'!F76+'112'!F76</f>
        <v>0</v>
      </c>
      <c r="G76" s="24">
        <f ca="1">'101'!G76+'102'!G76+'103'!G76+'104'!G76+'105'!G76+'106'!G76+'107'!G76+'112'!G76</f>
        <v>0</v>
      </c>
      <c r="H76" s="24">
        <f ca="1">'101'!H76+'102'!H76+'103'!H76+'104'!H76+'105'!H76+'106'!H76+'107'!H76+'112'!H76</f>
        <v>0</v>
      </c>
      <c r="I76" s="24">
        <f ca="1">'101'!I76+'102'!I76+'103'!I76+'104'!I76+'105'!I76+'106'!I76+'107'!I76+'112'!I76</f>
        <v>0</v>
      </c>
      <c r="J76" s="24">
        <f ca="1">'101'!J76+'102'!J76+'103'!J76+'104'!J76+'105'!J76+'106'!J76+'107'!J76+'112'!J76</f>
        <v>0</v>
      </c>
      <c r="K76" s="24">
        <f ca="1">'101'!K76+'102'!K76+'103'!K76+'104'!K76+'105'!K76+'106'!K76+'107'!K76+'112'!K76</f>
        <v>0</v>
      </c>
      <c r="L76" s="24">
        <f ca="1">'101'!L76+'102'!L76+'103'!L76+'104'!L76+'105'!L76+'106'!L76+'107'!L76+'112'!L76</f>
        <v>0</v>
      </c>
      <c r="M76" s="24">
        <f ca="1">'101'!M76+'102'!M76+'103'!M76+'104'!M76+'105'!M76+'106'!M76+'107'!M76+'112'!M76</f>
        <v>0</v>
      </c>
      <c r="N76" s="24">
        <f ca="1">'101'!N76+'102'!N76+'103'!N76+'104'!N76+'105'!N76+'106'!N76+'107'!N76+'112'!N76</f>
        <v>0</v>
      </c>
      <c r="O76" s="24">
        <f ca="1">'101'!O76+'102'!O76+'103'!O76+'104'!O76+'105'!O76+'106'!O76+'107'!O76+'112'!O76</f>
        <v>0</v>
      </c>
    </row>
    <row r="77" spans="1:15">
      <c r="A77" s="100" t="s">
        <v>372</v>
      </c>
      <c r="B77" s="97"/>
      <c r="C77" s="97"/>
      <c r="D77" s="24">
        <f ca="1">'101'!D77+'102'!D77+'103'!D77+'104'!D77+'105'!D77+'106'!D77+'107'!D77+'112'!D77</f>
        <v>0</v>
      </c>
      <c r="E77" s="24">
        <f ca="1">'101'!E77+'102'!E77+'103'!E77+'104'!E77+'105'!E77+'106'!E77+'107'!E77+'112'!E77</f>
        <v>0</v>
      </c>
      <c r="F77" s="24">
        <f ca="1">'101'!F77+'102'!F77+'103'!F77+'104'!F77+'105'!F77+'106'!F77+'107'!F77+'112'!F77</f>
        <v>0</v>
      </c>
      <c r="G77" s="24">
        <f ca="1">'101'!G77+'102'!G77+'103'!G77+'104'!G77+'105'!G77+'106'!G77+'107'!G77+'112'!G77</f>
        <v>0</v>
      </c>
      <c r="H77" s="24">
        <f ca="1">'101'!H77+'102'!H77+'103'!H77+'104'!H77+'105'!H77+'106'!H77+'107'!H77+'112'!H77</f>
        <v>0</v>
      </c>
      <c r="I77" s="24">
        <f ca="1">'101'!I77+'102'!I77+'103'!I77+'104'!I77+'105'!I77+'106'!I77+'107'!I77+'112'!I77</f>
        <v>0</v>
      </c>
      <c r="J77" s="24">
        <f ca="1">'101'!J77+'102'!J77+'103'!J77+'104'!J77+'105'!J77+'106'!J77+'107'!J77+'112'!J77</f>
        <v>0</v>
      </c>
      <c r="K77" s="24">
        <f ca="1">'101'!K77+'102'!K77+'103'!K77+'104'!K77+'105'!K77+'106'!K77+'107'!K77+'112'!K77</f>
        <v>0</v>
      </c>
      <c r="L77" s="24">
        <f ca="1">'101'!L77+'102'!L77+'103'!L77+'104'!L77+'105'!L77+'106'!L77+'107'!L77+'112'!L77</f>
        <v>0</v>
      </c>
      <c r="M77" s="24">
        <f ca="1">'101'!M77+'102'!M77+'103'!M77+'104'!M77+'105'!M77+'106'!M77+'107'!M77+'112'!M77</f>
        <v>0</v>
      </c>
      <c r="N77" s="24">
        <f ca="1">'101'!N77+'102'!N77+'103'!N77+'104'!N77+'105'!N77+'106'!N77+'107'!N77+'112'!N77</f>
        <v>0</v>
      </c>
      <c r="O77" s="24">
        <f ca="1">'101'!O77+'102'!O77+'103'!O77+'104'!O77+'105'!O77+'106'!O77+'107'!O77+'112'!O77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24">
        <f ca="1">'101'!D79+'102'!D79+'103'!D79+'104'!D79+'105'!D79+'106'!D79+'107'!D79+'112'!D79</f>
        <v>15</v>
      </c>
      <c r="E79" s="24">
        <f ca="1">'101'!E79+'102'!E79+'103'!E79+'104'!E79+'105'!E79+'106'!E79+'107'!E79+'112'!E79</f>
        <v>0</v>
      </c>
      <c r="F79" s="24">
        <f ca="1">'101'!F79+'102'!F79+'103'!F79+'104'!F79+'105'!F79+'106'!F79+'107'!F79+'112'!F79</f>
        <v>0</v>
      </c>
      <c r="G79" s="24">
        <f ca="1">'101'!G79+'102'!G79+'103'!G79+'104'!G79+'105'!G79+'106'!G79+'107'!G79+'112'!G79</f>
        <v>0</v>
      </c>
      <c r="H79" s="24">
        <f ca="1">'101'!H79+'102'!H79+'103'!H79+'104'!H79+'105'!H79+'106'!H79+'107'!H79+'112'!H79</f>
        <v>0</v>
      </c>
      <c r="I79" s="24">
        <f ca="1">'101'!I79+'102'!I79+'103'!I79+'104'!I79+'105'!I79+'106'!I79+'107'!I79+'112'!I79</f>
        <v>0</v>
      </c>
      <c r="J79" s="24">
        <f ca="1">'101'!J79+'102'!J79+'103'!J79+'104'!J79+'105'!J79+'106'!J79+'107'!J79+'112'!J79</f>
        <v>0</v>
      </c>
      <c r="K79" s="24">
        <f ca="1">'101'!K79+'102'!K79+'103'!K79+'104'!K79+'105'!K79+'106'!K79+'107'!K79+'112'!K79</f>
        <v>0</v>
      </c>
      <c r="L79" s="24">
        <f ca="1">'101'!L79+'102'!L79+'103'!L79+'104'!L79+'105'!L79+'106'!L79+'107'!L79+'112'!L79</f>
        <v>0</v>
      </c>
      <c r="M79" s="24">
        <f ca="1">'101'!M79+'102'!M79+'103'!M79+'104'!M79+'105'!M79+'106'!M79+'107'!M79+'112'!M79</f>
        <v>0</v>
      </c>
      <c r="N79" s="24">
        <f ca="1">'101'!N79+'102'!N79+'103'!N79+'104'!N79+'105'!N79+'106'!N79+'107'!N79+'112'!N79</f>
        <v>0</v>
      </c>
      <c r="O79" s="24">
        <f ca="1">'101'!O79+'102'!O79+'103'!O79+'104'!O79+'105'!O79+'106'!O79+'107'!O79+'112'!O79</f>
        <v>0</v>
      </c>
    </row>
    <row r="80" spans="1:15">
      <c r="A80" s="91" t="s">
        <v>372</v>
      </c>
      <c r="B80" s="92"/>
      <c r="C80" s="92"/>
      <c r="D80" s="24">
        <f ca="1">'101'!D80+'102'!D80+'103'!D80+'104'!D80+'105'!D80+'106'!D80+'107'!D80+'112'!D80</f>
        <v>3</v>
      </c>
      <c r="E80" s="24">
        <f ca="1">'101'!E80+'102'!E80+'103'!E80+'104'!E80+'105'!E80+'106'!E80+'107'!E80+'112'!E80</f>
        <v>0</v>
      </c>
      <c r="F80" s="24">
        <f ca="1">'101'!F80+'102'!F80+'103'!F80+'104'!F80+'105'!F80+'106'!F80+'107'!F80+'112'!F80</f>
        <v>0</v>
      </c>
      <c r="G80" s="24">
        <f ca="1">'101'!G80+'102'!G80+'103'!G80+'104'!G80+'105'!G80+'106'!G80+'107'!G80+'112'!G80</f>
        <v>0</v>
      </c>
      <c r="H80" s="24">
        <f ca="1">'101'!H80+'102'!H80+'103'!H80+'104'!H80+'105'!H80+'106'!H80+'107'!H80+'112'!H80</f>
        <v>0</v>
      </c>
      <c r="I80" s="24">
        <f ca="1">'101'!I80+'102'!I80+'103'!I80+'104'!I80+'105'!I80+'106'!I80+'107'!I80+'112'!I80</f>
        <v>0</v>
      </c>
      <c r="J80" s="24">
        <f ca="1">'101'!J80+'102'!J80+'103'!J80+'104'!J80+'105'!J80+'106'!J80+'107'!J80+'112'!J80</f>
        <v>0</v>
      </c>
      <c r="K80" s="24">
        <f ca="1">'101'!K80+'102'!K80+'103'!K80+'104'!K80+'105'!K80+'106'!K80+'107'!K80+'112'!K80</f>
        <v>0</v>
      </c>
      <c r="L80" s="24">
        <f ca="1">'101'!L80+'102'!L80+'103'!L80+'104'!L80+'105'!L80+'106'!L80+'107'!L80+'112'!L80</f>
        <v>0</v>
      </c>
      <c r="M80" s="24">
        <f ca="1">'101'!M80+'102'!M80+'103'!M80+'104'!M80+'105'!M80+'106'!M80+'107'!M80+'112'!M80</f>
        <v>0</v>
      </c>
      <c r="N80" s="24">
        <f ca="1">'101'!N80+'102'!N80+'103'!N80+'104'!N80+'105'!N80+'106'!N80+'107'!N80+'112'!N80</f>
        <v>0</v>
      </c>
      <c r="O80" s="24">
        <f ca="1">'101'!O80+'102'!O80+'103'!O80+'104'!O80+'105'!O80+'106'!O80+'107'!O80+'112'!O80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0.83333333333333337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24">
        <f ca="1">'101'!D82+'102'!D82+'103'!D82+'104'!D82+'105'!D82+'106'!D82+'107'!D82+'112'!D82</f>
        <v>13</v>
      </c>
      <c r="E82" s="24">
        <f ca="1">'101'!E82+'102'!E82+'103'!E82+'104'!E82+'105'!E82+'106'!E82+'107'!E82+'112'!E82</f>
        <v>0</v>
      </c>
      <c r="F82" s="24">
        <f ca="1">'101'!F82+'102'!F82+'103'!F82+'104'!F82+'105'!F82+'106'!F82+'107'!F82+'112'!F82</f>
        <v>0</v>
      </c>
      <c r="G82" s="24">
        <f ca="1">'101'!G82+'102'!G82+'103'!G82+'104'!G82+'105'!G82+'106'!G82+'107'!G82+'112'!G82</f>
        <v>0</v>
      </c>
      <c r="H82" s="24">
        <f ca="1">'101'!H82+'102'!H82+'103'!H82+'104'!H82+'105'!H82+'106'!H82+'107'!H82+'112'!H82</f>
        <v>0</v>
      </c>
      <c r="I82" s="24">
        <f ca="1">'101'!I82+'102'!I82+'103'!I82+'104'!I82+'105'!I82+'106'!I82+'107'!I82+'112'!I82</f>
        <v>0</v>
      </c>
      <c r="J82" s="24">
        <f ca="1">'101'!J82+'102'!J82+'103'!J82+'104'!J82+'105'!J82+'106'!J82+'107'!J82+'112'!J82</f>
        <v>0</v>
      </c>
      <c r="K82" s="24">
        <f ca="1">'101'!K82+'102'!K82+'103'!K82+'104'!K82+'105'!K82+'106'!K82+'107'!K82+'112'!K82</f>
        <v>0</v>
      </c>
      <c r="L82" s="24">
        <f ca="1">'101'!L82+'102'!L82+'103'!L82+'104'!L82+'105'!L82+'106'!L82+'107'!L82+'112'!L82</f>
        <v>0</v>
      </c>
      <c r="M82" s="24">
        <f ca="1">'101'!M82+'102'!M82+'103'!M82+'104'!M82+'105'!M82+'106'!M82+'107'!M82+'112'!M82</f>
        <v>0</v>
      </c>
      <c r="N82" s="24">
        <f ca="1">'101'!N82+'102'!N82+'103'!N82+'104'!N82+'105'!N82+'106'!N82+'107'!N82+'112'!N82</f>
        <v>0</v>
      </c>
      <c r="O82" s="24">
        <f ca="1">'101'!O82+'102'!O82+'103'!O82+'104'!O82+'105'!O82+'106'!O82+'107'!O82+'112'!O82</f>
        <v>0</v>
      </c>
    </row>
    <row r="83" spans="1:15">
      <c r="A83" s="100" t="s">
        <v>372</v>
      </c>
      <c r="B83" s="97"/>
      <c r="C83" s="97"/>
      <c r="D83" s="24">
        <f ca="1">'101'!D83+'102'!D83+'103'!D83+'104'!D83+'105'!D83+'106'!D83+'107'!D83+'112'!D83</f>
        <v>6</v>
      </c>
      <c r="E83" s="24">
        <f ca="1">'101'!E83+'102'!E83+'103'!E83+'104'!E83+'105'!E83+'106'!E83+'107'!E83+'112'!E83</f>
        <v>0</v>
      </c>
      <c r="F83" s="24">
        <f ca="1">'101'!F83+'102'!F83+'103'!F83+'104'!F83+'105'!F83+'106'!F83+'107'!F83+'112'!F83</f>
        <v>0</v>
      </c>
      <c r="G83" s="24">
        <f ca="1">'101'!G83+'102'!G83+'103'!G83+'104'!G83+'105'!G83+'106'!G83+'107'!G83+'112'!G83</f>
        <v>0</v>
      </c>
      <c r="H83" s="24">
        <f ca="1">'101'!H83+'102'!H83+'103'!H83+'104'!H83+'105'!H83+'106'!H83+'107'!H83+'112'!H83</f>
        <v>0</v>
      </c>
      <c r="I83" s="24">
        <f ca="1">'101'!I83+'102'!I83+'103'!I83+'104'!I83+'105'!I83+'106'!I83+'107'!I83+'112'!I83</f>
        <v>0</v>
      </c>
      <c r="J83" s="24">
        <f ca="1">'101'!J83+'102'!J83+'103'!J83+'104'!J83+'105'!J83+'106'!J83+'107'!J83+'112'!J83</f>
        <v>0</v>
      </c>
      <c r="K83" s="24">
        <f ca="1">'101'!K83+'102'!K83+'103'!K83+'104'!K83+'105'!K83+'106'!K83+'107'!K83+'112'!K83</f>
        <v>0</v>
      </c>
      <c r="L83" s="24">
        <f ca="1">'101'!L83+'102'!L83+'103'!L83+'104'!L83+'105'!L83+'106'!L83+'107'!L83+'112'!L83</f>
        <v>0</v>
      </c>
      <c r="M83" s="24">
        <f ca="1">'101'!M83+'102'!M83+'103'!M83+'104'!M83+'105'!M83+'106'!M83+'107'!M83+'112'!M83</f>
        <v>0</v>
      </c>
      <c r="N83" s="24">
        <f ca="1">'101'!N83+'102'!N83+'103'!N83+'104'!N83+'105'!N83+'106'!N83+'107'!N83+'112'!N83</f>
        <v>0</v>
      </c>
      <c r="O83" s="24">
        <f ca="1">'101'!O83+'102'!O83+'103'!O83+'104'!O83+'105'!O83+'106'!O83+'107'!O83+'112'!O83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0.68421052631578949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24">
        <f ca="1">'101'!D85+'102'!D85+'103'!D85+'104'!D85+'105'!D85+'106'!D85+'107'!D85+'112'!D85</f>
        <v>3</v>
      </c>
      <c r="E85" s="24">
        <f ca="1">'101'!E85+'102'!E85+'103'!E85+'104'!E85+'105'!E85+'106'!E85+'107'!E85+'112'!E85</f>
        <v>0</v>
      </c>
      <c r="F85" s="24">
        <f ca="1">'101'!F85+'102'!F85+'103'!F85+'104'!F85+'105'!F85+'106'!F85+'107'!F85+'112'!F85</f>
        <v>0</v>
      </c>
      <c r="G85" s="24">
        <f ca="1">'101'!G85+'102'!G85+'103'!G85+'104'!G85+'105'!G85+'106'!G85+'107'!G85+'112'!G85</f>
        <v>0</v>
      </c>
      <c r="H85" s="24">
        <f ca="1">'101'!H85+'102'!H85+'103'!H85+'104'!H85+'105'!H85+'106'!H85+'107'!H85+'112'!H85</f>
        <v>0</v>
      </c>
      <c r="I85" s="24">
        <f ca="1">'101'!I85+'102'!I85+'103'!I85+'104'!I85+'105'!I85+'106'!I85+'107'!I85+'112'!I85</f>
        <v>0</v>
      </c>
      <c r="J85" s="24">
        <f ca="1">'101'!J85+'102'!J85+'103'!J85+'104'!J85+'105'!J85+'106'!J85+'107'!J85+'112'!J85</f>
        <v>0</v>
      </c>
      <c r="K85" s="24">
        <f ca="1">'101'!K85+'102'!K85+'103'!K85+'104'!K85+'105'!K85+'106'!K85+'107'!K85+'112'!K85</f>
        <v>0</v>
      </c>
      <c r="L85" s="24">
        <f ca="1">'101'!L85+'102'!L85+'103'!L85+'104'!L85+'105'!L85+'106'!L85+'107'!L85+'112'!L85</f>
        <v>0</v>
      </c>
      <c r="M85" s="24">
        <f ca="1">'101'!M85+'102'!M85+'103'!M85+'104'!M85+'105'!M85+'106'!M85+'107'!M85+'112'!M85</f>
        <v>0</v>
      </c>
      <c r="N85" s="24">
        <f ca="1">'101'!N85+'102'!N85+'103'!N85+'104'!N85+'105'!N85+'106'!N85+'107'!N85+'112'!N85</f>
        <v>0</v>
      </c>
      <c r="O85" s="24">
        <f ca="1">'101'!O85+'102'!O85+'103'!O85+'104'!O85+'105'!O85+'106'!O85+'107'!O85+'112'!O85</f>
        <v>0</v>
      </c>
    </row>
    <row r="86" spans="1:15">
      <c r="A86" s="91" t="s">
        <v>372</v>
      </c>
      <c r="B86" s="92"/>
      <c r="C86" s="92"/>
      <c r="D86" s="24">
        <f ca="1">'101'!D86+'102'!D86+'103'!D86+'104'!D86+'105'!D86+'106'!D86+'107'!D86+'112'!D86</f>
        <v>4</v>
      </c>
      <c r="E86" s="24">
        <f ca="1">'101'!E86+'102'!E86+'103'!E86+'104'!E86+'105'!E86+'106'!E86+'107'!E86+'112'!E86</f>
        <v>0</v>
      </c>
      <c r="F86" s="24">
        <f ca="1">'101'!F86+'102'!F86+'103'!F86+'104'!F86+'105'!F86+'106'!F86+'107'!F86+'112'!F86</f>
        <v>0</v>
      </c>
      <c r="G86" s="24">
        <f ca="1">'101'!G86+'102'!G86+'103'!G86+'104'!G86+'105'!G86+'106'!G86+'107'!G86+'112'!G86</f>
        <v>0</v>
      </c>
      <c r="H86" s="24">
        <f ca="1">'101'!H86+'102'!H86+'103'!H86+'104'!H86+'105'!H86+'106'!H86+'107'!H86+'112'!H86</f>
        <v>0</v>
      </c>
      <c r="I86" s="24">
        <f ca="1">'101'!I86+'102'!I86+'103'!I86+'104'!I86+'105'!I86+'106'!I86+'107'!I86+'112'!I86</f>
        <v>0</v>
      </c>
      <c r="J86" s="24">
        <f ca="1">'101'!J86+'102'!J86+'103'!J86+'104'!J86+'105'!J86+'106'!J86+'107'!J86+'112'!J86</f>
        <v>0</v>
      </c>
      <c r="K86" s="24">
        <f ca="1">'101'!K86+'102'!K86+'103'!K86+'104'!K86+'105'!K86+'106'!K86+'107'!K86+'112'!K86</f>
        <v>0</v>
      </c>
      <c r="L86" s="24">
        <f ca="1">'101'!L86+'102'!L86+'103'!L86+'104'!L86+'105'!L86+'106'!L86+'107'!L86+'112'!L86</f>
        <v>0</v>
      </c>
      <c r="M86" s="24">
        <f ca="1">'101'!M86+'102'!M86+'103'!M86+'104'!M86+'105'!M86+'106'!M86+'107'!M86+'112'!M86</f>
        <v>0</v>
      </c>
      <c r="N86" s="24">
        <f ca="1">'101'!N86+'102'!N86+'103'!N86+'104'!N86+'105'!N86+'106'!N86+'107'!N86+'112'!N86</f>
        <v>0</v>
      </c>
      <c r="O86" s="24">
        <f ca="1">'101'!O86+'102'!O86+'103'!O86+'104'!O86+'105'!O86+'106'!O86+'107'!O86+'112'!O86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0.42857142857142855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24">
        <f ca="1">'101'!D88+'102'!D88+'103'!D88+'104'!D88+'105'!D88+'106'!D88+'107'!D88+'112'!D88</f>
        <v>8</v>
      </c>
      <c r="E88" s="24">
        <f ca="1">'101'!E88+'102'!E88+'103'!E88+'104'!E88+'105'!E88+'106'!E88+'107'!E88+'112'!E88</f>
        <v>0</v>
      </c>
      <c r="F88" s="24">
        <f ca="1">'101'!F88+'102'!F88+'103'!F88+'104'!F88+'105'!F88+'106'!F88+'107'!F88+'112'!F88</f>
        <v>0</v>
      </c>
      <c r="G88" s="24">
        <f ca="1">'101'!G88+'102'!G88+'103'!G88+'104'!G88+'105'!G88+'106'!G88+'107'!G88+'112'!G88</f>
        <v>0</v>
      </c>
      <c r="H88" s="24">
        <f ca="1">'101'!H88+'102'!H88+'103'!H88+'104'!H88+'105'!H88+'106'!H88+'107'!H88+'112'!H88</f>
        <v>0</v>
      </c>
      <c r="I88" s="24">
        <f ca="1">'101'!I88+'102'!I88+'103'!I88+'104'!I88+'105'!I88+'106'!I88+'107'!I88+'112'!I88</f>
        <v>0</v>
      </c>
      <c r="J88" s="24">
        <f ca="1">'101'!J88+'102'!J88+'103'!J88+'104'!J88+'105'!J88+'106'!J88+'107'!J88+'112'!J88</f>
        <v>0</v>
      </c>
      <c r="K88" s="24">
        <f ca="1">'101'!K88+'102'!K88+'103'!K88+'104'!K88+'105'!K88+'106'!K88+'107'!K88+'112'!K88</f>
        <v>0</v>
      </c>
      <c r="L88" s="24">
        <f ca="1">'101'!L88+'102'!L88+'103'!L88+'104'!L88+'105'!L88+'106'!L88+'107'!L88+'112'!L88</f>
        <v>0</v>
      </c>
      <c r="M88" s="24">
        <f ca="1">'101'!M88+'102'!M88+'103'!M88+'104'!M88+'105'!M88+'106'!M88+'107'!M88+'112'!M88</f>
        <v>0</v>
      </c>
      <c r="N88" s="24">
        <f ca="1">'101'!N88+'102'!N88+'103'!N88+'104'!N88+'105'!N88+'106'!N88+'107'!N88+'112'!N88</f>
        <v>0</v>
      </c>
      <c r="O88" s="24">
        <f ca="1">'101'!O88+'102'!O88+'103'!O88+'104'!O88+'105'!O88+'106'!O88+'107'!O88+'112'!O88</f>
        <v>0</v>
      </c>
    </row>
    <row r="89" spans="1:15">
      <c r="A89" s="100" t="s">
        <v>372</v>
      </c>
      <c r="B89" s="97"/>
      <c r="C89" s="97"/>
      <c r="D89" s="24">
        <f ca="1">'101'!D89+'102'!D89+'103'!D89+'104'!D89+'105'!D89+'106'!D89+'107'!D89+'112'!D89</f>
        <v>0</v>
      </c>
      <c r="E89" s="24">
        <f ca="1">'101'!E89+'102'!E89+'103'!E89+'104'!E89+'105'!E89+'106'!E89+'107'!E89+'112'!E89</f>
        <v>0</v>
      </c>
      <c r="F89" s="24">
        <f ca="1">'101'!F89+'102'!F89+'103'!F89+'104'!F89+'105'!F89+'106'!F89+'107'!F89+'112'!F89</f>
        <v>0</v>
      </c>
      <c r="G89" s="24">
        <f ca="1">'101'!G89+'102'!G89+'103'!G89+'104'!G89+'105'!G89+'106'!G89+'107'!G89+'112'!G89</f>
        <v>0</v>
      </c>
      <c r="H89" s="24">
        <f ca="1">'101'!H89+'102'!H89+'103'!H89+'104'!H89+'105'!H89+'106'!H89+'107'!H89+'112'!H89</f>
        <v>0</v>
      </c>
      <c r="I89" s="24">
        <f ca="1">'101'!I89+'102'!I89+'103'!I89+'104'!I89+'105'!I89+'106'!I89+'107'!I89+'112'!I89</f>
        <v>0</v>
      </c>
      <c r="J89" s="24">
        <f ca="1">'101'!J89+'102'!J89+'103'!J89+'104'!J89+'105'!J89+'106'!J89+'107'!J89+'112'!J89</f>
        <v>0</v>
      </c>
      <c r="K89" s="24">
        <f ca="1">'101'!K89+'102'!K89+'103'!K89+'104'!K89+'105'!K89+'106'!K89+'107'!K89+'112'!K89</f>
        <v>0</v>
      </c>
      <c r="L89" s="24">
        <f ca="1">'101'!L89+'102'!L89+'103'!L89+'104'!L89+'105'!L89+'106'!L89+'107'!L89+'112'!L89</f>
        <v>0</v>
      </c>
      <c r="M89" s="24">
        <f ca="1">'101'!M89+'102'!M89+'103'!M89+'104'!M89+'105'!M89+'106'!M89+'107'!M89+'112'!M89</f>
        <v>0</v>
      </c>
      <c r="N89" s="24">
        <f ca="1">'101'!N89+'102'!N89+'103'!N89+'104'!N89+'105'!N89+'106'!N89+'107'!N89+'112'!N89</f>
        <v>0</v>
      </c>
      <c r="O89" s="24">
        <f ca="1">'101'!O89+'102'!O89+'103'!O89+'104'!O89+'105'!O89+'106'!O89+'107'!O89+'112'!O89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24">
        <f ca="1">'101'!D91+'102'!D91+'103'!D91+'104'!D91+'105'!D91+'106'!D91+'107'!D91+'112'!D91</f>
        <v>18</v>
      </c>
      <c r="E91" s="24">
        <f ca="1">'101'!E91+'102'!E91+'103'!E91+'104'!E91+'105'!E91+'106'!E91+'107'!E91+'112'!E91</f>
        <v>0</v>
      </c>
      <c r="F91" s="24">
        <f ca="1">'101'!F91+'102'!F91+'103'!F91+'104'!F91+'105'!F91+'106'!F91+'107'!F91+'112'!F91</f>
        <v>0</v>
      </c>
      <c r="G91" s="24">
        <f ca="1">'101'!G91+'102'!G91+'103'!G91+'104'!G91+'105'!G91+'106'!G91+'107'!G91+'112'!G91</f>
        <v>0</v>
      </c>
      <c r="H91" s="24">
        <f ca="1">'101'!H91+'102'!H91+'103'!H91+'104'!H91+'105'!H91+'106'!H91+'107'!H91+'112'!H91</f>
        <v>0</v>
      </c>
      <c r="I91" s="24">
        <f ca="1">'101'!I91+'102'!I91+'103'!I91+'104'!I91+'105'!I91+'106'!I91+'107'!I91+'112'!I91</f>
        <v>0</v>
      </c>
      <c r="J91" s="24">
        <f ca="1">'101'!J91+'102'!J91+'103'!J91+'104'!J91+'105'!J91+'106'!J91+'107'!J91+'112'!J91</f>
        <v>0</v>
      </c>
      <c r="K91" s="24">
        <f ca="1">'101'!K91+'102'!K91+'103'!K91+'104'!K91+'105'!K91+'106'!K91+'107'!K91+'112'!K91</f>
        <v>0</v>
      </c>
      <c r="L91" s="24">
        <f ca="1">'101'!L91+'102'!L91+'103'!L91+'104'!L91+'105'!L91+'106'!L91+'107'!L91+'112'!L91</f>
        <v>0</v>
      </c>
      <c r="M91" s="24">
        <f ca="1">'101'!M91+'102'!M91+'103'!M91+'104'!M91+'105'!M91+'106'!M91+'107'!M91+'112'!M91</f>
        <v>0</v>
      </c>
      <c r="N91" s="24">
        <f ca="1">'101'!N91+'102'!N91+'103'!N91+'104'!N91+'105'!N91+'106'!N91+'107'!N91+'112'!N91</f>
        <v>0</v>
      </c>
      <c r="O91" s="24">
        <f ca="1">'101'!O91+'102'!O91+'103'!O91+'104'!O91+'105'!O91+'106'!O91+'107'!O91+'112'!O91</f>
        <v>0</v>
      </c>
    </row>
    <row r="92" spans="1:15">
      <c r="A92" s="91" t="s">
        <v>372</v>
      </c>
      <c r="B92" s="92"/>
      <c r="C92" s="92"/>
      <c r="D92" s="24">
        <f ca="1">'101'!D92+'102'!D92+'103'!D92+'104'!D92+'105'!D92+'106'!D92+'107'!D92+'112'!D92</f>
        <v>26</v>
      </c>
      <c r="E92" s="24">
        <f ca="1">'101'!E92+'102'!E92+'103'!E92+'104'!E92+'105'!E92+'106'!E92+'107'!E92+'112'!E92</f>
        <v>0</v>
      </c>
      <c r="F92" s="24">
        <f ca="1">'101'!F92+'102'!F92+'103'!F92+'104'!F92+'105'!F92+'106'!F92+'107'!F92+'112'!F92</f>
        <v>0</v>
      </c>
      <c r="G92" s="24">
        <f ca="1">'101'!G92+'102'!G92+'103'!G92+'104'!G92+'105'!G92+'106'!G92+'107'!G92+'112'!G92</f>
        <v>0</v>
      </c>
      <c r="H92" s="24">
        <f ca="1">'101'!H92+'102'!H92+'103'!H92+'104'!H92+'105'!H92+'106'!H92+'107'!H92+'112'!H92</f>
        <v>0</v>
      </c>
      <c r="I92" s="24">
        <f ca="1">'101'!I92+'102'!I92+'103'!I92+'104'!I92+'105'!I92+'106'!I92+'107'!I92+'112'!I92</f>
        <v>0</v>
      </c>
      <c r="J92" s="24">
        <f ca="1">'101'!J92+'102'!J92+'103'!J92+'104'!J92+'105'!J92+'106'!J92+'107'!J92+'112'!J92</f>
        <v>0</v>
      </c>
      <c r="K92" s="24">
        <f ca="1">'101'!K92+'102'!K92+'103'!K92+'104'!K92+'105'!K92+'106'!K92+'107'!K92+'112'!K92</f>
        <v>0</v>
      </c>
      <c r="L92" s="24">
        <f ca="1">'101'!L92+'102'!L92+'103'!L92+'104'!L92+'105'!L92+'106'!L92+'107'!L92+'112'!L92</f>
        <v>0</v>
      </c>
      <c r="M92" s="24">
        <f ca="1">'101'!M92+'102'!M92+'103'!M92+'104'!M92+'105'!M92+'106'!M92+'107'!M92+'112'!M92</f>
        <v>0</v>
      </c>
      <c r="N92" s="24">
        <f ca="1">'101'!N92+'102'!N92+'103'!N92+'104'!N92+'105'!N92+'106'!N92+'107'!N92+'112'!N92</f>
        <v>0</v>
      </c>
      <c r="O92" s="24">
        <f ca="1">'101'!O92+'102'!O92+'103'!O92+'104'!O92+'105'!O92+'106'!O92+'107'!O92+'112'!O92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0.40909090909090912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24">
        <f ca="1">'101'!D94+'102'!D94+'103'!D94+'104'!D94+'105'!D94+'106'!D94+'107'!D94+'112'!D94</f>
        <v>23</v>
      </c>
      <c r="E94" s="24">
        <f ca="1">'101'!E94+'102'!E94+'103'!E94+'104'!E94+'105'!E94+'106'!E94+'107'!E94+'112'!E94</f>
        <v>0</v>
      </c>
      <c r="F94" s="24">
        <f ca="1">'101'!F94+'102'!F94+'103'!F94+'104'!F94+'105'!F94+'106'!F94+'107'!F94+'112'!F94</f>
        <v>0</v>
      </c>
      <c r="G94" s="24">
        <f ca="1">'101'!G94+'102'!G94+'103'!G94+'104'!G94+'105'!G94+'106'!G94+'107'!G94+'112'!G94</f>
        <v>0</v>
      </c>
      <c r="H94" s="24">
        <f ca="1">'101'!H94+'102'!H94+'103'!H94+'104'!H94+'105'!H94+'106'!H94+'107'!H94+'112'!H94</f>
        <v>0</v>
      </c>
      <c r="I94" s="24">
        <f ca="1">'101'!I94+'102'!I94+'103'!I94+'104'!I94+'105'!I94+'106'!I94+'107'!I94+'112'!I94</f>
        <v>0</v>
      </c>
      <c r="J94" s="24">
        <f ca="1">'101'!J94+'102'!J94+'103'!J94+'104'!J94+'105'!J94+'106'!J94+'107'!J94+'112'!J94</f>
        <v>0</v>
      </c>
      <c r="K94" s="24">
        <f ca="1">'101'!K94+'102'!K94+'103'!K94+'104'!K94+'105'!K94+'106'!K94+'107'!K94+'112'!K94</f>
        <v>0</v>
      </c>
      <c r="L94" s="24">
        <f ca="1">'101'!L94+'102'!L94+'103'!L94+'104'!L94+'105'!L94+'106'!L94+'107'!L94+'112'!L94</f>
        <v>0</v>
      </c>
      <c r="M94" s="24">
        <f ca="1">'101'!M94+'102'!M94+'103'!M94+'104'!M94+'105'!M94+'106'!M94+'107'!M94+'112'!M94</f>
        <v>0</v>
      </c>
      <c r="N94" s="24">
        <f ca="1">'101'!N94+'102'!N94+'103'!N94+'104'!N94+'105'!N94+'106'!N94+'107'!N94+'112'!N94</f>
        <v>0</v>
      </c>
      <c r="O94" s="24">
        <f ca="1">'101'!O94+'102'!O94+'103'!O94+'104'!O94+'105'!O94+'106'!O94+'107'!O94+'112'!O94</f>
        <v>0</v>
      </c>
    </row>
    <row r="95" spans="1:15">
      <c r="A95" s="100" t="s">
        <v>372</v>
      </c>
      <c r="B95" s="97"/>
      <c r="C95" s="97"/>
      <c r="D95" s="24">
        <f ca="1">'101'!D95+'102'!D95+'103'!D95+'104'!D95+'105'!D95+'106'!D95+'107'!D95+'112'!D95</f>
        <v>20</v>
      </c>
      <c r="E95" s="24">
        <f ca="1">'101'!E95+'102'!E95+'103'!E95+'104'!E95+'105'!E95+'106'!E95+'107'!E95+'112'!E95</f>
        <v>0</v>
      </c>
      <c r="F95" s="24">
        <f ca="1">'101'!F95+'102'!F95+'103'!F95+'104'!F95+'105'!F95+'106'!F95+'107'!F95+'112'!F95</f>
        <v>0</v>
      </c>
      <c r="G95" s="24">
        <f ca="1">'101'!G95+'102'!G95+'103'!G95+'104'!G95+'105'!G95+'106'!G95+'107'!G95+'112'!G95</f>
        <v>0</v>
      </c>
      <c r="H95" s="24">
        <f ca="1">'101'!H95+'102'!H95+'103'!H95+'104'!H95+'105'!H95+'106'!H95+'107'!H95+'112'!H95</f>
        <v>0</v>
      </c>
      <c r="I95" s="24">
        <f ca="1">'101'!I95+'102'!I95+'103'!I95+'104'!I95+'105'!I95+'106'!I95+'107'!I95+'112'!I95</f>
        <v>0</v>
      </c>
      <c r="J95" s="24">
        <f ca="1">'101'!J95+'102'!J95+'103'!J95+'104'!J95+'105'!J95+'106'!J95+'107'!J95+'112'!J95</f>
        <v>0</v>
      </c>
      <c r="K95" s="24">
        <f ca="1">'101'!K95+'102'!K95+'103'!K95+'104'!K95+'105'!K95+'106'!K95+'107'!K95+'112'!K95</f>
        <v>0</v>
      </c>
      <c r="L95" s="24">
        <f ca="1">'101'!L95+'102'!L95+'103'!L95+'104'!L95+'105'!L95+'106'!L95+'107'!L95+'112'!L95</f>
        <v>0</v>
      </c>
      <c r="M95" s="24">
        <f ca="1">'101'!M95+'102'!M95+'103'!M95+'104'!M95+'105'!M95+'106'!M95+'107'!M95+'112'!M95</f>
        <v>0</v>
      </c>
      <c r="N95" s="24">
        <f ca="1">'101'!N95+'102'!N95+'103'!N95+'104'!N95+'105'!N95+'106'!N95+'107'!N95+'112'!N95</f>
        <v>0</v>
      </c>
      <c r="O95" s="24">
        <f ca="1">'101'!O95+'102'!O95+'103'!O95+'104'!O95+'105'!O95+'106'!O95+'107'!O95+'112'!O95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0.53488372093023251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24">
        <f ca="1">'101'!D97+'102'!D97+'103'!D97+'104'!D97+'105'!D97+'106'!D97+'107'!D97+'112'!D97</f>
        <v>157</v>
      </c>
      <c r="E97" s="24">
        <f ca="1">'101'!E97+'102'!E97+'103'!E97+'104'!E97+'105'!E97+'106'!E97+'107'!E97+'112'!E97</f>
        <v>0</v>
      </c>
      <c r="F97" s="24">
        <f ca="1">'101'!F97+'102'!F97+'103'!F97+'104'!F97+'105'!F97+'106'!F97+'107'!F97+'112'!F97</f>
        <v>0</v>
      </c>
      <c r="G97" s="24">
        <f ca="1">'101'!G97+'102'!G97+'103'!G97+'104'!G97+'105'!G97+'106'!G97+'107'!G97+'112'!G97</f>
        <v>0</v>
      </c>
      <c r="H97" s="24">
        <f ca="1">'101'!H97+'102'!H97+'103'!H97+'104'!H97+'105'!H97+'106'!H97+'107'!H97+'112'!H97</f>
        <v>0</v>
      </c>
      <c r="I97" s="24">
        <f ca="1">'101'!I97+'102'!I97+'103'!I97+'104'!I97+'105'!I97+'106'!I97+'107'!I97+'112'!I97</f>
        <v>0</v>
      </c>
      <c r="J97" s="24">
        <f ca="1">'101'!J97+'102'!J97+'103'!J97+'104'!J97+'105'!J97+'106'!J97+'107'!J97+'112'!J97</f>
        <v>0</v>
      </c>
      <c r="K97" s="24">
        <f ca="1">'101'!K97+'102'!K97+'103'!K97+'104'!K97+'105'!K97+'106'!K97+'107'!K97+'112'!K97</f>
        <v>0</v>
      </c>
      <c r="L97" s="24">
        <f ca="1">'101'!L97+'102'!L97+'103'!L97+'104'!L97+'105'!L97+'106'!L97+'107'!L97+'112'!L97</f>
        <v>0</v>
      </c>
      <c r="M97" s="24">
        <f ca="1">'101'!M97+'102'!M97+'103'!M97+'104'!M97+'105'!M97+'106'!M97+'107'!M97+'112'!M97</f>
        <v>0</v>
      </c>
      <c r="N97" s="24">
        <f ca="1">'101'!N97+'102'!N97+'103'!N97+'104'!N97+'105'!N97+'106'!N97+'107'!N97+'112'!N97</f>
        <v>0</v>
      </c>
      <c r="O97" s="24">
        <f ca="1">'101'!O97+'102'!O97+'103'!O97+'104'!O97+'105'!O97+'106'!O97+'107'!O97+'112'!O97</f>
        <v>0</v>
      </c>
    </row>
    <row r="98" spans="1:15">
      <c r="A98" s="91" t="s">
        <v>372</v>
      </c>
      <c r="B98" s="92"/>
      <c r="C98" s="92"/>
      <c r="D98" s="24">
        <f ca="1">'101'!D98+'102'!D98+'103'!D98+'104'!D98+'105'!D98+'106'!D98+'107'!D98+'112'!D98</f>
        <v>644</v>
      </c>
      <c r="E98" s="24">
        <f ca="1">'101'!E98+'102'!E98+'103'!E98+'104'!E98+'105'!E98+'106'!E98+'107'!E98+'112'!E98</f>
        <v>0</v>
      </c>
      <c r="F98" s="24">
        <f ca="1">'101'!F98+'102'!F98+'103'!F98+'104'!F98+'105'!F98+'106'!F98+'107'!F98+'112'!F98</f>
        <v>0</v>
      </c>
      <c r="G98" s="24">
        <f ca="1">'101'!G98+'102'!G98+'103'!G98+'104'!G98+'105'!G98+'106'!G98+'107'!G98+'112'!G98</f>
        <v>0</v>
      </c>
      <c r="H98" s="24">
        <f ca="1">'101'!H98+'102'!H98+'103'!H98+'104'!H98+'105'!H98+'106'!H98+'107'!H98+'112'!H98</f>
        <v>0</v>
      </c>
      <c r="I98" s="24">
        <f ca="1">'101'!I98+'102'!I98+'103'!I98+'104'!I98+'105'!I98+'106'!I98+'107'!I98+'112'!I98</f>
        <v>0</v>
      </c>
      <c r="J98" s="24">
        <f ca="1">'101'!J98+'102'!J98+'103'!J98+'104'!J98+'105'!J98+'106'!J98+'107'!J98+'112'!J98</f>
        <v>0</v>
      </c>
      <c r="K98" s="24">
        <f ca="1">'101'!K98+'102'!K98+'103'!K98+'104'!K98+'105'!K98+'106'!K98+'107'!K98+'112'!K98</f>
        <v>0</v>
      </c>
      <c r="L98" s="24">
        <f ca="1">'101'!L98+'102'!L98+'103'!L98+'104'!L98+'105'!L98+'106'!L98+'107'!L98+'112'!L98</f>
        <v>0</v>
      </c>
      <c r="M98" s="24">
        <f ca="1">'101'!M98+'102'!M98+'103'!M98+'104'!M98+'105'!M98+'106'!M98+'107'!M98+'112'!M98</f>
        <v>0</v>
      </c>
      <c r="N98" s="24">
        <f ca="1">'101'!N98+'102'!N98+'103'!N98+'104'!N98+'105'!N98+'106'!N98+'107'!N98+'112'!N98</f>
        <v>0</v>
      </c>
      <c r="O98" s="24">
        <f ca="1">'101'!O98+'102'!O98+'103'!O98+'104'!O98+'105'!O98+'106'!O98+'107'!O98+'112'!O98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0.19600499375780275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24">
        <f ca="1">'101'!D100+'102'!D100+'103'!D100+'104'!D100+'105'!D100+'106'!D100+'107'!D100+'112'!D100</f>
        <v>205</v>
      </c>
      <c r="E100" s="24">
        <f ca="1">'101'!E100+'102'!E100+'103'!E100+'104'!E100+'105'!E100+'106'!E100+'107'!E100+'112'!E100</f>
        <v>0</v>
      </c>
      <c r="F100" s="24">
        <f ca="1">'101'!F100+'102'!F100+'103'!F100+'104'!F100+'105'!F100+'106'!F100+'107'!F100+'112'!F100</f>
        <v>0</v>
      </c>
      <c r="G100" s="24">
        <f ca="1">'101'!G100+'102'!G100+'103'!G100+'104'!G100+'105'!G100+'106'!G100+'107'!G100+'112'!G100</f>
        <v>0</v>
      </c>
      <c r="H100" s="24">
        <f ca="1">'101'!H100+'102'!H100+'103'!H100+'104'!H100+'105'!H100+'106'!H100+'107'!H100+'112'!H100</f>
        <v>0</v>
      </c>
      <c r="I100" s="24">
        <f ca="1">'101'!I100+'102'!I100+'103'!I100+'104'!I100+'105'!I100+'106'!I100+'107'!I100+'112'!I100</f>
        <v>0</v>
      </c>
      <c r="J100" s="24">
        <f ca="1">'101'!J100+'102'!J100+'103'!J100+'104'!J100+'105'!J100+'106'!J100+'107'!J100+'112'!J100</f>
        <v>0</v>
      </c>
      <c r="K100" s="24">
        <f ca="1">'101'!K100+'102'!K100+'103'!K100+'104'!K100+'105'!K100+'106'!K100+'107'!K100+'112'!K100</f>
        <v>0</v>
      </c>
      <c r="L100" s="24">
        <f ca="1">'101'!L100+'102'!L100+'103'!L100+'104'!L100+'105'!L100+'106'!L100+'107'!L100+'112'!L100</f>
        <v>0</v>
      </c>
      <c r="M100" s="24">
        <f ca="1">'101'!M100+'102'!M100+'103'!M100+'104'!M100+'105'!M100+'106'!M100+'107'!M100+'112'!M100</f>
        <v>0</v>
      </c>
      <c r="N100" s="24">
        <f ca="1">'101'!N100+'102'!N100+'103'!N100+'104'!N100+'105'!N100+'106'!N100+'107'!N100+'112'!N100</f>
        <v>0</v>
      </c>
      <c r="O100" s="24">
        <f ca="1">'101'!O100+'102'!O100+'103'!O100+'104'!O100+'105'!O100+'106'!O100+'107'!O100+'112'!O100</f>
        <v>0</v>
      </c>
    </row>
    <row r="101" spans="1:15">
      <c r="A101" s="100" t="s">
        <v>372</v>
      </c>
      <c r="B101" s="97"/>
      <c r="C101" s="97"/>
      <c r="D101" s="24">
        <f ca="1">'101'!D101+'102'!D101+'103'!D101+'104'!D101+'105'!D101+'106'!D101+'107'!D101+'112'!D101</f>
        <v>571</v>
      </c>
      <c r="E101" s="24">
        <f ca="1">'101'!E101+'102'!E101+'103'!E101+'104'!E101+'105'!E101+'106'!E101+'107'!E101+'112'!E101</f>
        <v>0</v>
      </c>
      <c r="F101" s="24">
        <f ca="1">'101'!F101+'102'!F101+'103'!F101+'104'!F101+'105'!F101+'106'!F101+'107'!F101+'112'!F101</f>
        <v>0</v>
      </c>
      <c r="G101" s="24">
        <f ca="1">'101'!G101+'102'!G101+'103'!G101+'104'!G101+'105'!G101+'106'!G101+'107'!G101+'112'!G101</f>
        <v>0</v>
      </c>
      <c r="H101" s="24">
        <f ca="1">'101'!H101+'102'!H101+'103'!H101+'104'!H101+'105'!H101+'106'!H101+'107'!H101+'112'!H101</f>
        <v>0</v>
      </c>
      <c r="I101" s="24">
        <f ca="1">'101'!I101+'102'!I101+'103'!I101+'104'!I101+'105'!I101+'106'!I101+'107'!I101+'112'!I101</f>
        <v>0</v>
      </c>
      <c r="J101" s="24">
        <f ca="1">'101'!J101+'102'!J101+'103'!J101+'104'!J101+'105'!J101+'106'!J101+'107'!J101+'112'!J101</f>
        <v>0</v>
      </c>
      <c r="K101" s="24">
        <f ca="1">'101'!K101+'102'!K101+'103'!K101+'104'!K101+'105'!K101+'106'!K101+'107'!K101+'112'!K101</f>
        <v>0</v>
      </c>
      <c r="L101" s="24">
        <f ca="1">'101'!L101+'102'!L101+'103'!L101+'104'!L101+'105'!L101+'106'!L101+'107'!L101+'112'!L101</f>
        <v>0</v>
      </c>
      <c r="M101" s="24">
        <f ca="1">'101'!M101+'102'!M101+'103'!M101+'104'!M101+'105'!M101+'106'!M101+'107'!M101+'112'!M101</f>
        <v>0</v>
      </c>
      <c r="N101" s="24">
        <f ca="1">'101'!N101+'102'!N101+'103'!N101+'104'!N101+'105'!N101+'106'!N101+'107'!N101+'112'!N101</f>
        <v>0</v>
      </c>
      <c r="O101" s="24">
        <f ca="1">'101'!O101+'102'!O101+'103'!O101+'104'!O101+'105'!O101+'106'!O101+'107'!O101+'112'!O101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0.26417525773195877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24">
        <f ca="1">'101'!D103+'102'!D103+'103'!D103+'104'!D103+'105'!D103+'106'!D103+'107'!D103+'112'!D103</f>
        <v>27</v>
      </c>
      <c r="E103" s="24">
        <f ca="1">'101'!E103+'102'!E103+'103'!E103+'104'!E103+'105'!E103+'106'!E103+'107'!E103+'112'!E103</f>
        <v>0</v>
      </c>
      <c r="F103" s="24">
        <f ca="1">'101'!F103+'102'!F103+'103'!F103+'104'!F103+'105'!F103+'106'!F103+'107'!F103+'112'!F103</f>
        <v>0</v>
      </c>
      <c r="G103" s="24">
        <f ca="1">'101'!G103+'102'!G103+'103'!G103+'104'!G103+'105'!G103+'106'!G103+'107'!G103+'112'!G103</f>
        <v>0</v>
      </c>
      <c r="H103" s="24">
        <f ca="1">'101'!H103+'102'!H103+'103'!H103+'104'!H103+'105'!H103+'106'!H103+'107'!H103+'112'!H103</f>
        <v>0</v>
      </c>
      <c r="I103" s="24">
        <f ca="1">'101'!I103+'102'!I103+'103'!I103+'104'!I103+'105'!I103+'106'!I103+'107'!I103+'112'!I103</f>
        <v>0</v>
      </c>
      <c r="J103" s="24">
        <f ca="1">'101'!J103+'102'!J103+'103'!J103+'104'!J103+'105'!J103+'106'!J103+'107'!J103+'112'!J103</f>
        <v>0</v>
      </c>
      <c r="K103" s="24">
        <f ca="1">'101'!K103+'102'!K103+'103'!K103+'104'!K103+'105'!K103+'106'!K103+'107'!K103+'112'!K103</f>
        <v>0</v>
      </c>
      <c r="L103" s="24">
        <f ca="1">'101'!L103+'102'!L103+'103'!L103+'104'!L103+'105'!L103+'106'!L103+'107'!L103+'112'!L103</f>
        <v>0</v>
      </c>
      <c r="M103" s="24">
        <f ca="1">'101'!M103+'102'!M103+'103'!M103+'104'!M103+'105'!M103+'106'!M103+'107'!M103+'112'!M103</f>
        <v>0</v>
      </c>
      <c r="N103" s="24">
        <f ca="1">'101'!N103+'102'!N103+'103'!N103+'104'!N103+'105'!N103+'106'!N103+'107'!N103+'112'!N103</f>
        <v>0</v>
      </c>
      <c r="O103" s="24">
        <f ca="1">'101'!O103+'102'!O103+'103'!O103+'104'!O103+'105'!O103+'106'!O103+'107'!O103+'112'!O103</f>
        <v>0</v>
      </c>
    </row>
    <row r="104" spans="1:15">
      <c r="A104" s="91" t="s">
        <v>372</v>
      </c>
      <c r="B104" s="92"/>
      <c r="C104" s="92"/>
      <c r="D104" s="24">
        <f ca="1">'101'!D104+'102'!D104+'103'!D104+'104'!D104+'105'!D104+'106'!D104+'107'!D104+'112'!D104</f>
        <v>173</v>
      </c>
      <c r="E104" s="24">
        <f ca="1">'101'!E104+'102'!E104+'103'!E104+'104'!E104+'105'!E104+'106'!E104+'107'!E104+'112'!E104</f>
        <v>0</v>
      </c>
      <c r="F104" s="24">
        <f ca="1">'101'!F104+'102'!F104+'103'!F104+'104'!F104+'105'!F104+'106'!F104+'107'!F104+'112'!F104</f>
        <v>0</v>
      </c>
      <c r="G104" s="24">
        <f ca="1">'101'!G104+'102'!G104+'103'!G104+'104'!G104+'105'!G104+'106'!G104+'107'!G104+'112'!G104</f>
        <v>0</v>
      </c>
      <c r="H104" s="24">
        <f ca="1">'101'!H104+'102'!H104+'103'!H104+'104'!H104+'105'!H104+'106'!H104+'107'!H104+'112'!H104</f>
        <v>0</v>
      </c>
      <c r="I104" s="24">
        <f ca="1">'101'!I104+'102'!I104+'103'!I104+'104'!I104+'105'!I104+'106'!I104+'107'!I104+'112'!I104</f>
        <v>0</v>
      </c>
      <c r="J104" s="24">
        <f ca="1">'101'!J104+'102'!J104+'103'!J104+'104'!J104+'105'!J104+'106'!J104+'107'!J104+'112'!J104</f>
        <v>0</v>
      </c>
      <c r="K104" s="24">
        <f ca="1">'101'!K104+'102'!K104+'103'!K104+'104'!K104+'105'!K104+'106'!K104+'107'!K104+'112'!K104</f>
        <v>0</v>
      </c>
      <c r="L104" s="24">
        <f ca="1">'101'!L104+'102'!L104+'103'!L104+'104'!L104+'105'!L104+'106'!L104+'107'!L104+'112'!L104</f>
        <v>0</v>
      </c>
      <c r="M104" s="24">
        <f ca="1">'101'!M104+'102'!M104+'103'!M104+'104'!M104+'105'!M104+'106'!M104+'107'!M104+'112'!M104</f>
        <v>0</v>
      </c>
      <c r="N104" s="24">
        <f ca="1">'101'!N104+'102'!N104+'103'!N104+'104'!N104+'105'!N104+'106'!N104+'107'!N104+'112'!N104</f>
        <v>0</v>
      </c>
      <c r="O104" s="24">
        <f ca="1">'101'!O104+'102'!O104+'103'!O104+'104'!O104+'105'!O104+'106'!O104+'107'!O104+'112'!O104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0.13500000000000001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24">
        <f ca="1">'101'!D106+'102'!D106+'103'!D106+'104'!D106+'105'!D106+'106'!D106+'107'!D106+'112'!D106</f>
        <v>37</v>
      </c>
      <c r="E106" s="24">
        <f ca="1">'101'!E106+'102'!E106+'103'!E106+'104'!E106+'105'!E106+'106'!E106+'107'!E106+'112'!E106</f>
        <v>0</v>
      </c>
      <c r="F106" s="24">
        <f ca="1">'101'!F106+'102'!F106+'103'!F106+'104'!F106+'105'!F106+'106'!F106+'107'!F106+'112'!F106</f>
        <v>0</v>
      </c>
      <c r="G106" s="24">
        <f ca="1">'101'!G106+'102'!G106+'103'!G106+'104'!G106+'105'!G106+'106'!G106+'107'!G106+'112'!G106</f>
        <v>0</v>
      </c>
      <c r="H106" s="24">
        <f ca="1">'101'!H106+'102'!H106+'103'!H106+'104'!H106+'105'!H106+'106'!H106+'107'!H106+'112'!H106</f>
        <v>0</v>
      </c>
      <c r="I106" s="24">
        <f ca="1">'101'!I106+'102'!I106+'103'!I106+'104'!I106+'105'!I106+'106'!I106+'107'!I106+'112'!I106</f>
        <v>0</v>
      </c>
      <c r="J106" s="24">
        <f ca="1">'101'!J106+'102'!J106+'103'!J106+'104'!J106+'105'!J106+'106'!J106+'107'!J106+'112'!J106</f>
        <v>0</v>
      </c>
      <c r="K106" s="24">
        <f ca="1">'101'!K106+'102'!K106+'103'!K106+'104'!K106+'105'!K106+'106'!K106+'107'!K106+'112'!K106</f>
        <v>0</v>
      </c>
      <c r="L106" s="24">
        <f ca="1">'101'!L106+'102'!L106+'103'!L106+'104'!L106+'105'!L106+'106'!L106+'107'!L106+'112'!L106</f>
        <v>0</v>
      </c>
      <c r="M106" s="24">
        <f ca="1">'101'!M106+'102'!M106+'103'!M106+'104'!M106+'105'!M106+'106'!M106+'107'!M106+'112'!M106</f>
        <v>0</v>
      </c>
      <c r="N106" s="24">
        <f ca="1">'101'!N106+'102'!N106+'103'!N106+'104'!N106+'105'!N106+'106'!N106+'107'!N106+'112'!N106</f>
        <v>0</v>
      </c>
      <c r="O106" s="24">
        <f ca="1">'101'!O106+'102'!O106+'103'!O106+'104'!O106+'105'!O106+'106'!O106+'107'!O106+'112'!O106</f>
        <v>0</v>
      </c>
    </row>
    <row r="107" spans="1:15">
      <c r="A107" s="100" t="s">
        <v>372</v>
      </c>
      <c r="B107" s="97"/>
      <c r="C107" s="97"/>
      <c r="D107" s="24">
        <f ca="1">'101'!D107+'102'!D107+'103'!D107+'104'!D107+'105'!D107+'106'!D107+'107'!D107+'112'!D107</f>
        <v>142</v>
      </c>
      <c r="E107" s="24">
        <f ca="1">'101'!E107+'102'!E107+'103'!E107+'104'!E107+'105'!E107+'106'!E107+'107'!E107+'112'!E107</f>
        <v>0</v>
      </c>
      <c r="F107" s="24">
        <f ca="1">'101'!F107+'102'!F107+'103'!F107+'104'!F107+'105'!F107+'106'!F107+'107'!F107+'112'!F107</f>
        <v>0</v>
      </c>
      <c r="G107" s="24">
        <f ca="1">'101'!G107+'102'!G107+'103'!G107+'104'!G107+'105'!G107+'106'!G107+'107'!G107+'112'!G107</f>
        <v>0</v>
      </c>
      <c r="H107" s="24">
        <f ca="1">'101'!H107+'102'!H107+'103'!H107+'104'!H107+'105'!H107+'106'!H107+'107'!H107+'112'!H107</f>
        <v>0</v>
      </c>
      <c r="I107" s="24">
        <f ca="1">'101'!I107+'102'!I107+'103'!I107+'104'!I107+'105'!I107+'106'!I107+'107'!I107+'112'!I107</f>
        <v>0</v>
      </c>
      <c r="J107" s="24">
        <f ca="1">'101'!J107+'102'!J107+'103'!J107+'104'!J107+'105'!J107+'106'!J107+'107'!J107+'112'!J107</f>
        <v>0</v>
      </c>
      <c r="K107" s="24">
        <f ca="1">'101'!K107+'102'!K107+'103'!K107+'104'!K107+'105'!K107+'106'!K107+'107'!K107+'112'!K107</f>
        <v>0</v>
      </c>
      <c r="L107" s="24">
        <f ca="1">'101'!L107+'102'!L107+'103'!L107+'104'!L107+'105'!L107+'106'!L107+'107'!L107+'112'!L107</f>
        <v>0</v>
      </c>
      <c r="M107" s="24">
        <f ca="1">'101'!M107+'102'!M107+'103'!M107+'104'!M107+'105'!M107+'106'!M107+'107'!M107+'112'!M107</f>
        <v>0</v>
      </c>
      <c r="N107" s="24">
        <f ca="1">'101'!N107+'102'!N107+'103'!N107+'104'!N107+'105'!N107+'106'!N107+'107'!N107+'112'!N107</f>
        <v>0</v>
      </c>
      <c r="O107" s="24">
        <f ca="1">'101'!O107+'102'!O107+'103'!O107+'104'!O107+'105'!O107+'106'!O107+'107'!O107+'112'!O107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0.20670391061452514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384</v>
      </c>
      <c r="C1" s="2" t="s">
        <v>532</v>
      </c>
      <c r="D1" s="2">
        <v>57</v>
      </c>
    </row>
    <row r="2" spans="1:15">
      <c r="C2" s="2" t="s">
        <v>531</v>
      </c>
      <c r="D2" s="2">
        <v>58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134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172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3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66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4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1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2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16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4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57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43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24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25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20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67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26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7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4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57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94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0.37748344370860926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43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92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0.31851851851851853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7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18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0.28000000000000003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22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0.15384615384615385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0.33333333333333331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0.33333333333333331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18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63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t="shared" ref="D99:O99" ca="1" si="12">IFERROR(D58/(D58+D98),0)</f>
        <v>1.5625E-2</v>
      </c>
      <c r="E99" s="94">
        <f t="shared" ca="1" si="12"/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0.19354838709677419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7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12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0.36842105263157893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3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0.13043478260869565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385</v>
      </c>
      <c r="C1" s="2" t="s">
        <v>532</v>
      </c>
      <c r="D1" s="2">
        <v>60</v>
      </c>
    </row>
    <row r="2" spans="1:15">
      <c r="C2" s="2" t="s">
        <v>531</v>
      </c>
      <c r="D2" s="2">
        <v>61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164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149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37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27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4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4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91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4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16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3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88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85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2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29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26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52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13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6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49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58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36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17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8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88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0.45128205128205129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85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83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0.50595238095238093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17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0.6071428571428571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8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27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0.22857142857142856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3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3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0.66666666666666663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34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66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57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0.41836734693877553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25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7.407407407407407E-2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3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9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386</v>
      </c>
      <c r="C1" s="2" t="s">
        <v>532</v>
      </c>
      <c r="D1" s="2">
        <v>63</v>
      </c>
    </row>
    <row r="2" spans="1:15">
      <c r="C2" s="2" t="s">
        <v>531</v>
      </c>
      <c r="D2" s="2">
        <v>64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182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188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25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52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7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1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96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90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7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6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2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1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12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1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84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66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9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5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26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47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14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7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45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43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79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76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56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84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166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0.33600000000000002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66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130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0.33673469387755101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19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0.62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25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0.32432432432432434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4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0.8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2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0.33333333333333331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2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8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0.1111111111111111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5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0.7142857142857143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17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97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0.14912280701754385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84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0.13402061855670103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29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6.4516129032258063E-2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3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13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0.1875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'104 (4)'!D4+'104 (8)'!D4</f>
        <v>216</v>
      </c>
      <c r="E4" s="24">
        <f ca="1">'104 (4)'!E4+'104 (8)'!E4</f>
        <v>0</v>
      </c>
      <c r="F4" s="24">
        <f ca="1">'104 (4)'!F4+'104 (8)'!F4</f>
        <v>0</v>
      </c>
      <c r="G4" s="24">
        <f ca="1">'104 (4)'!G4+'104 (8)'!G4</f>
        <v>0</v>
      </c>
      <c r="H4" s="24">
        <f ca="1">'104 (4)'!H4+'104 (8)'!H4</f>
        <v>0</v>
      </c>
      <c r="I4" s="24">
        <f ca="1">'104 (4)'!I4+'104 (8)'!I4</f>
        <v>0</v>
      </c>
      <c r="J4" s="24">
        <f ca="1">'104 (4)'!J4+'104 (8)'!J4</f>
        <v>0</v>
      </c>
      <c r="K4" s="24">
        <f ca="1">'104 (4)'!K4+'104 (8)'!K4</f>
        <v>0</v>
      </c>
      <c r="L4" s="24">
        <f ca="1">'104 (4)'!L4+'104 (8)'!L4</f>
        <v>0</v>
      </c>
      <c r="M4" s="24">
        <f ca="1">'104 (4)'!M4+'104 (8)'!M4</f>
        <v>0</v>
      </c>
      <c r="N4" s="24">
        <f ca="1">'104 (4)'!N4+'104 (8)'!N4</f>
        <v>0</v>
      </c>
      <c r="O4" s="24">
        <f ca="1">'104 (4)'!O4+'104 (8)'!O4</f>
        <v>0</v>
      </c>
    </row>
    <row r="5" spans="1:15" ht="18.75">
      <c r="A5" s="22"/>
      <c r="B5" s="24"/>
      <c r="C5" s="33">
        <f>Справочник!J1</f>
        <v>2019</v>
      </c>
      <c r="D5" s="24">
        <f ca="1">'104 (4)'!D5+'104 (8)'!D5</f>
        <v>242</v>
      </c>
      <c r="E5" s="24">
        <f ca="1">'104 (4)'!E5+'104 (8)'!E5</f>
        <v>0</v>
      </c>
      <c r="F5" s="24">
        <f ca="1">'104 (4)'!F5+'104 (8)'!F5</f>
        <v>0</v>
      </c>
      <c r="G5" s="24">
        <f ca="1">'104 (4)'!G5+'104 (8)'!G5</f>
        <v>0</v>
      </c>
      <c r="H5" s="24">
        <f ca="1">'104 (4)'!H5+'104 (8)'!H5</f>
        <v>0</v>
      </c>
      <c r="I5" s="24">
        <f ca="1">'104 (4)'!I5+'104 (8)'!I5</f>
        <v>0</v>
      </c>
      <c r="J5" s="24">
        <f ca="1">'104 (4)'!J5+'104 (8)'!J5</f>
        <v>0</v>
      </c>
      <c r="K5" s="24">
        <f ca="1">'104 (4)'!K5+'104 (8)'!K5</f>
        <v>0</v>
      </c>
      <c r="L5" s="24">
        <f ca="1">'104 (4)'!L5+'104 (8)'!L5</f>
        <v>0</v>
      </c>
      <c r="M5" s="24">
        <f ca="1">'104 (4)'!M5+'104 (8)'!M5</f>
        <v>0</v>
      </c>
      <c r="N5" s="24">
        <f ca="1">'104 (4)'!N5+'104 (8)'!N5</f>
        <v>0</v>
      </c>
      <c r="O5" s="24">
        <f ca="1">'104 (4)'!O5+'104 (8)'!O5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'104 (4)'!D6+'104 (8)'!D6</f>
        <v>63</v>
      </c>
      <c r="E6" s="24">
        <f ca="1">'104 (4)'!E6+'104 (8)'!E6</f>
        <v>0</v>
      </c>
      <c r="F6" s="24">
        <f ca="1">'104 (4)'!F6+'104 (8)'!F6</f>
        <v>0</v>
      </c>
      <c r="G6" s="24">
        <f ca="1">'104 (4)'!G6+'104 (8)'!G6</f>
        <v>0</v>
      </c>
      <c r="H6" s="24">
        <f ca="1">'104 (4)'!H6+'104 (8)'!H6</f>
        <v>0</v>
      </c>
      <c r="I6" s="24">
        <f ca="1">'104 (4)'!I6+'104 (8)'!I6</f>
        <v>0</v>
      </c>
      <c r="J6" s="24">
        <f ca="1">'104 (4)'!J6+'104 (8)'!J6</f>
        <v>0</v>
      </c>
      <c r="K6" s="24">
        <f ca="1">'104 (4)'!K6+'104 (8)'!K6</f>
        <v>0</v>
      </c>
      <c r="L6" s="24">
        <f ca="1">'104 (4)'!L6+'104 (8)'!L6</f>
        <v>0</v>
      </c>
      <c r="M6" s="24">
        <f ca="1">'104 (4)'!M6+'104 (8)'!M6</f>
        <v>0</v>
      </c>
      <c r="N6" s="24">
        <f ca="1">'104 (4)'!N6+'104 (8)'!N6</f>
        <v>0</v>
      </c>
      <c r="O6" s="24">
        <f ca="1">'104 (4)'!O6+'104 (8)'!O6</f>
        <v>0</v>
      </c>
    </row>
    <row r="7" spans="1:15">
      <c r="A7" s="25"/>
      <c r="B7" s="24"/>
      <c r="C7" s="34">
        <f>Справочник!J1</f>
        <v>2019</v>
      </c>
      <c r="D7" s="24">
        <f ca="1">'104 (4)'!D7+'104 (8)'!D7</f>
        <v>47</v>
      </c>
      <c r="E7" s="24">
        <f ca="1">'104 (4)'!E7+'104 (8)'!E7</f>
        <v>0</v>
      </c>
      <c r="F7" s="24">
        <f ca="1">'104 (4)'!F7+'104 (8)'!F7</f>
        <v>0</v>
      </c>
      <c r="G7" s="24">
        <f ca="1">'104 (4)'!G7+'104 (8)'!G7</f>
        <v>0</v>
      </c>
      <c r="H7" s="24">
        <f ca="1">'104 (4)'!H7+'104 (8)'!H7</f>
        <v>0</v>
      </c>
      <c r="I7" s="24">
        <f ca="1">'104 (4)'!I7+'104 (8)'!I7</f>
        <v>0</v>
      </c>
      <c r="J7" s="24">
        <f ca="1">'104 (4)'!J7+'104 (8)'!J7</f>
        <v>0</v>
      </c>
      <c r="K7" s="24">
        <f ca="1">'104 (4)'!K7+'104 (8)'!K7</f>
        <v>0</v>
      </c>
      <c r="L7" s="24">
        <f ca="1">'104 (4)'!L7+'104 (8)'!L7</f>
        <v>0</v>
      </c>
      <c r="M7" s="24">
        <f ca="1">'104 (4)'!M7+'104 (8)'!M7</f>
        <v>0</v>
      </c>
      <c r="N7" s="24">
        <f ca="1">'104 (4)'!N7+'104 (8)'!N7</f>
        <v>0</v>
      </c>
      <c r="O7" s="24">
        <f ca="1">'104 (4)'!O7+'104 (8)'!O7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'104 (4)'!D8+'104 (8)'!D8</f>
        <v>1</v>
      </c>
      <c r="E8" s="24">
        <f ca="1">'104 (4)'!E8+'104 (8)'!E8</f>
        <v>0</v>
      </c>
      <c r="F8" s="24">
        <f ca="1">'104 (4)'!F8+'104 (8)'!F8</f>
        <v>0</v>
      </c>
      <c r="G8" s="24">
        <f ca="1">'104 (4)'!G8+'104 (8)'!G8</f>
        <v>0</v>
      </c>
      <c r="H8" s="24">
        <f ca="1">'104 (4)'!H8+'104 (8)'!H8</f>
        <v>0</v>
      </c>
      <c r="I8" s="24">
        <f ca="1">'104 (4)'!I8+'104 (8)'!I8</f>
        <v>0</v>
      </c>
      <c r="J8" s="24">
        <f ca="1">'104 (4)'!J8+'104 (8)'!J8</f>
        <v>0</v>
      </c>
      <c r="K8" s="24">
        <f ca="1">'104 (4)'!K8+'104 (8)'!K8</f>
        <v>0</v>
      </c>
      <c r="L8" s="24">
        <f ca="1">'104 (4)'!L8+'104 (8)'!L8</f>
        <v>0</v>
      </c>
      <c r="M8" s="24">
        <f ca="1">'104 (4)'!M8+'104 (8)'!M8</f>
        <v>0</v>
      </c>
      <c r="N8" s="24">
        <f ca="1">'104 (4)'!N8+'104 (8)'!N8</f>
        <v>0</v>
      </c>
      <c r="O8" s="24">
        <f ca="1">'104 (4)'!O8+'104 (8)'!O8</f>
        <v>0</v>
      </c>
    </row>
    <row r="9" spans="1:15">
      <c r="A9" s="32"/>
      <c r="B9" s="24"/>
      <c r="C9" s="34">
        <f>Справочник!J1</f>
        <v>2019</v>
      </c>
      <c r="D9" s="24">
        <f ca="1">'104 (4)'!D9+'104 (8)'!D9</f>
        <v>3</v>
      </c>
      <c r="E9" s="24">
        <f ca="1">'104 (4)'!E9+'104 (8)'!E9</f>
        <v>0</v>
      </c>
      <c r="F9" s="24">
        <f ca="1">'104 (4)'!F9+'104 (8)'!F9</f>
        <v>0</v>
      </c>
      <c r="G9" s="24">
        <f ca="1">'104 (4)'!G9+'104 (8)'!G9</f>
        <v>0</v>
      </c>
      <c r="H9" s="24">
        <f ca="1">'104 (4)'!H9+'104 (8)'!H9</f>
        <v>0</v>
      </c>
      <c r="I9" s="24">
        <f ca="1">'104 (4)'!I9+'104 (8)'!I9</f>
        <v>0</v>
      </c>
      <c r="J9" s="24">
        <f ca="1">'104 (4)'!J9+'104 (8)'!J9</f>
        <v>0</v>
      </c>
      <c r="K9" s="24">
        <f ca="1">'104 (4)'!K9+'104 (8)'!K9</f>
        <v>0</v>
      </c>
      <c r="L9" s="24">
        <f ca="1">'104 (4)'!L9+'104 (8)'!L9</f>
        <v>0</v>
      </c>
      <c r="M9" s="24">
        <f ca="1">'104 (4)'!M9+'104 (8)'!M9</f>
        <v>0</v>
      </c>
      <c r="N9" s="24">
        <f ca="1">'104 (4)'!N9+'104 (8)'!N9</f>
        <v>0</v>
      </c>
      <c r="O9" s="24">
        <f ca="1">'104 (4)'!O9+'104 (8)'!O9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'104 (4)'!D10+'104 (8)'!D10</f>
        <v>4</v>
      </c>
      <c r="E10" s="24">
        <f ca="1">'104 (4)'!E10+'104 (8)'!E10</f>
        <v>0</v>
      </c>
      <c r="F10" s="24">
        <f ca="1">'104 (4)'!F10+'104 (8)'!F10</f>
        <v>0</v>
      </c>
      <c r="G10" s="24">
        <f ca="1">'104 (4)'!G10+'104 (8)'!G10</f>
        <v>0</v>
      </c>
      <c r="H10" s="24">
        <f ca="1">'104 (4)'!H10+'104 (8)'!H10</f>
        <v>0</v>
      </c>
      <c r="I10" s="24">
        <f ca="1">'104 (4)'!I10+'104 (8)'!I10</f>
        <v>0</v>
      </c>
      <c r="J10" s="24">
        <f ca="1">'104 (4)'!J10+'104 (8)'!J10</f>
        <v>0</v>
      </c>
      <c r="K10" s="24">
        <f ca="1">'104 (4)'!K10+'104 (8)'!K10</f>
        <v>0</v>
      </c>
      <c r="L10" s="24">
        <f ca="1">'104 (4)'!L10+'104 (8)'!L10</f>
        <v>0</v>
      </c>
      <c r="M10" s="24">
        <f ca="1">'104 (4)'!M10+'104 (8)'!M10</f>
        <v>0</v>
      </c>
      <c r="N10" s="24">
        <f ca="1">'104 (4)'!N10+'104 (8)'!N10</f>
        <v>0</v>
      </c>
      <c r="O10" s="24">
        <f ca="1">'104 (4)'!O10+'104 (8)'!O10</f>
        <v>0</v>
      </c>
    </row>
    <row r="11" spans="1:15">
      <c r="A11" s="29"/>
      <c r="B11" s="24"/>
      <c r="C11" s="33">
        <f>Справочник!J1</f>
        <v>2019</v>
      </c>
      <c r="D11" s="24">
        <f ca="1">'104 (4)'!D11+'104 (8)'!D11</f>
        <v>6</v>
      </c>
      <c r="E11" s="24">
        <f ca="1">'104 (4)'!E11+'104 (8)'!E11</f>
        <v>0</v>
      </c>
      <c r="F11" s="24">
        <f ca="1">'104 (4)'!F11+'104 (8)'!F11</f>
        <v>0</v>
      </c>
      <c r="G11" s="24">
        <f ca="1">'104 (4)'!G11+'104 (8)'!G11</f>
        <v>0</v>
      </c>
      <c r="H11" s="24">
        <f ca="1">'104 (4)'!H11+'104 (8)'!H11</f>
        <v>0</v>
      </c>
      <c r="I11" s="24">
        <f ca="1">'104 (4)'!I11+'104 (8)'!I11</f>
        <v>0</v>
      </c>
      <c r="J11" s="24">
        <f ca="1">'104 (4)'!J11+'104 (8)'!J11</f>
        <v>0</v>
      </c>
      <c r="K11" s="24">
        <f ca="1">'104 (4)'!K11+'104 (8)'!K11</f>
        <v>0</v>
      </c>
      <c r="L11" s="24">
        <f ca="1">'104 (4)'!L11+'104 (8)'!L11</f>
        <v>0</v>
      </c>
      <c r="M11" s="24">
        <f ca="1">'104 (4)'!M11+'104 (8)'!M11</f>
        <v>0</v>
      </c>
      <c r="N11" s="24">
        <f ca="1">'104 (4)'!N11+'104 (8)'!N11</f>
        <v>0</v>
      </c>
      <c r="O11" s="24">
        <f ca="1">'104 (4)'!O11+'104 (8)'!O11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'104 (4)'!D12+'104 (8)'!D12</f>
        <v>0</v>
      </c>
      <c r="E12" s="24">
        <f ca="1">'104 (4)'!E12+'104 (8)'!E12</f>
        <v>0</v>
      </c>
      <c r="F12" s="24">
        <f ca="1">'104 (4)'!F12+'104 (8)'!F12</f>
        <v>0</v>
      </c>
      <c r="G12" s="24">
        <f ca="1">'104 (4)'!G12+'104 (8)'!G12</f>
        <v>0</v>
      </c>
      <c r="H12" s="24">
        <f ca="1">'104 (4)'!H12+'104 (8)'!H12</f>
        <v>0</v>
      </c>
      <c r="I12" s="24">
        <f ca="1">'104 (4)'!I12+'104 (8)'!I12</f>
        <v>0</v>
      </c>
      <c r="J12" s="24">
        <f ca="1">'104 (4)'!J12+'104 (8)'!J12</f>
        <v>0</v>
      </c>
      <c r="K12" s="24">
        <f ca="1">'104 (4)'!K12+'104 (8)'!K12</f>
        <v>0</v>
      </c>
      <c r="L12" s="24">
        <f ca="1">'104 (4)'!L12+'104 (8)'!L12</f>
        <v>0</v>
      </c>
      <c r="M12" s="24">
        <f ca="1">'104 (4)'!M12+'104 (8)'!M12</f>
        <v>0</v>
      </c>
      <c r="N12" s="24">
        <f ca="1">'104 (4)'!N12+'104 (8)'!N12</f>
        <v>0</v>
      </c>
      <c r="O12" s="24">
        <f ca="1">'104 (4)'!O12+'104 (8)'!O12</f>
        <v>0</v>
      </c>
    </row>
    <row r="13" spans="1:15">
      <c r="A13" s="28"/>
      <c r="B13" s="24"/>
      <c r="C13" s="33">
        <f>Справочник!J1</f>
        <v>2019</v>
      </c>
      <c r="D13" s="24">
        <f ca="1">'104 (4)'!D13+'104 (8)'!D13</f>
        <v>0</v>
      </c>
      <c r="E13" s="24">
        <f ca="1">'104 (4)'!E13+'104 (8)'!E13</f>
        <v>0</v>
      </c>
      <c r="F13" s="24">
        <f ca="1">'104 (4)'!F13+'104 (8)'!F13</f>
        <v>0</v>
      </c>
      <c r="G13" s="24">
        <f ca="1">'104 (4)'!G13+'104 (8)'!G13</f>
        <v>0</v>
      </c>
      <c r="H13" s="24">
        <f ca="1">'104 (4)'!H13+'104 (8)'!H13</f>
        <v>0</v>
      </c>
      <c r="I13" s="24">
        <f ca="1">'104 (4)'!I13+'104 (8)'!I13</f>
        <v>0</v>
      </c>
      <c r="J13" s="24">
        <f ca="1">'104 (4)'!J13+'104 (8)'!J13</f>
        <v>0</v>
      </c>
      <c r="K13" s="24">
        <f ca="1">'104 (4)'!K13+'104 (8)'!K13</f>
        <v>0</v>
      </c>
      <c r="L13" s="24">
        <f ca="1">'104 (4)'!L13+'104 (8)'!L13</f>
        <v>0</v>
      </c>
      <c r="M13" s="24">
        <f ca="1">'104 (4)'!M13+'104 (8)'!M13</f>
        <v>0</v>
      </c>
      <c r="N13" s="24">
        <f ca="1">'104 (4)'!N13+'104 (8)'!N13</f>
        <v>0</v>
      </c>
      <c r="O13" s="24">
        <f ca="1">'104 (4)'!O13+'104 (8)'!O13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'104 (4)'!D14+'104 (8)'!D14</f>
        <v>1</v>
      </c>
      <c r="E14" s="24">
        <f ca="1">'104 (4)'!E14+'104 (8)'!E14</f>
        <v>0</v>
      </c>
      <c r="F14" s="24">
        <f ca="1">'104 (4)'!F14+'104 (8)'!F14</f>
        <v>0</v>
      </c>
      <c r="G14" s="24">
        <f ca="1">'104 (4)'!G14+'104 (8)'!G14</f>
        <v>0</v>
      </c>
      <c r="H14" s="24">
        <f ca="1">'104 (4)'!H14+'104 (8)'!H14</f>
        <v>0</v>
      </c>
      <c r="I14" s="24">
        <f ca="1">'104 (4)'!I14+'104 (8)'!I14</f>
        <v>0</v>
      </c>
      <c r="J14" s="24">
        <f ca="1">'104 (4)'!J14+'104 (8)'!J14</f>
        <v>0</v>
      </c>
      <c r="K14" s="24">
        <f ca="1">'104 (4)'!K14+'104 (8)'!K14</f>
        <v>0</v>
      </c>
      <c r="L14" s="24">
        <f ca="1">'104 (4)'!L14+'104 (8)'!L14</f>
        <v>0</v>
      </c>
      <c r="M14" s="24">
        <f ca="1">'104 (4)'!M14+'104 (8)'!M14</f>
        <v>0</v>
      </c>
      <c r="N14" s="24">
        <f ca="1">'104 (4)'!N14+'104 (8)'!N14</f>
        <v>0</v>
      </c>
      <c r="O14" s="24">
        <f ca="1">'104 (4)'!O14+'104 (8)'!O14</f>
        <v>0</v>
      </c>
    </row>
    <row r="15" spans="1:15">
      <c r="A15" s="27"/>
      <c r="B15" s="24"/>
      <c r="C15" s="33">
        <f>Справочник!J1</f>
        <v>2019</v>
      </c>
      <c r="D15" s="24">
        <f ca="1">'104 (4)'!D15+'104 (8)'!D15</f>
        <v>0</v>
      </c>
      <c r="E15" s="24">
        <f ca="1">'104 (4)'!E15+'104 (8)'!E15</f>
        <v>0</v>
      </c>
      <c r="F15" s="24">
        <f ca="1">'104 (4)'!F15+'104 (8)'!F15</f>
        <v>0</v>
      </c>
      <c r="G15" s="24">
        <f ca="1">'104 (4)'!G15+'104 (8)'!G15</f>
        <v>0</v>
      </c>
      <c r="H15" s="24">
        <f ca="1">'104 (4)'!H15+'104 (8)'!H15</f>
        <v>0</v>
      </c>
      <c r="I15" s="24">
        <f ca="1">'104 (4)'!I15+'104 (8)'!I15</f>
        <v>0</v>
      </c>
      <c r="J15" s="24">
        <f ca="1">'104 (4)'!J15+'104 (8)'!J15</f>
        <v>0</v>
      </c>
      <c r="K15" s="24">
        <f ca="1">'104 (4)'!K15+'104 (8)'!K15</f>
        <v>0</v>
      </c>
      <c r="L15" s="24">
        <f ca="1">'104 (4)'!L15+'104 (8)'!L15</f>
        <v>0</v>
      </c>
      <c r="M15" s="24">
        <f ca="1">'104 (4)'!M15+'104 (8)'!M15</f>
        <v>0</v>
      </c>
      <c r="N15" s="24">
        <f ca="1">'104 (4)'!N15+'104 (8)'!N15</f>
        <v>0</v>
      </c>
      <c r="O15" s="24">
        <f ca="1">'104 (4)'!O15+'104 (8)'!O15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'104 (4)'!D16+'104 (8)'!D16</f>
        <v>95</v>
      </c>
      <c r="E16" s="24">
        <f ca="1">'104 (4)'!E16+'104 (8)'!E16</f>
        <v>0</v>
      </c>
      <c r="F16" s="24">
        <f ca="1">'104 (4)'!F16+'104 (8)'!F16</f>
        <v>0</v>
      </c>
      <c r="G16" s="24">
        <f ca="1">'104 (4)'!G16+'104 (8)'!G16</f>
        <v>0</v>
      </c>
      <c r="H16" s="24">
        <f ca="1">'104 (4)'!H16+'104 (8)'!H16</f>
        <v>0</v>
      </c>
      <c r="I16" s="24">
        <f ca="1">'104 (4)'!I16+'104 (8)'!I16</f>
        <v>0</v>
      </c>
      <c r="J16" s="24">
        <f ca="1">'104 (4)'!J16+'104 (8)'!J16</f>
        <v>0</v>
      </c>
      <c r="K16" s="24">
        <f ca="1">'104 (4)'!K16+'104 (8)'!K16</f>
        <v>0</v>
      </c>
      <c r="L16" s="24">
        <f ca="1">'104 (4)'!L16+'104 (8)'!L16</f>
        <v>0</v>
      </c>
      <c r="M16" s="24">
        <f ca="1">'104 (4)'!M16+'104 (8)'!M16</f>
        <v>0</v>
      </c>
      <c r="N16" s="24">
        <f ca="1">'104 (4)'!N16+'104 (8)'!N16</f>
        <v>0</v>
      </c>
      <c r="O16" s="24">
        <f ca="1">'104 (4)'!O16+'104 (8)'!O16</f>
        <v>0</v>
      </c>
    </row>
    <row r="17" spans="1:15">
      <c r="A17" s="25"/>
      <c r="B17" s="24"/>
      <c r="C17" s="33">
        <f>Справочник!J1</f>
        <v>2019</v>
      </c>
      <c r="D17" s="24">
        <f ca="1">'104 (4)'!D17+'104 (8)'!D17</f>
        <v>125</v>
      </c>
      <c r="E17" s="24">
        <f ca="1">'104 (4)'!E17+'104 (8)'!E17</f>
        <v>0</v>
      </c>
      <c r="F17" s="24">
        <f ca="1">'104 (4)'!F17+'104 (8)'!F17</f>
        <v>0</v>
      </c>
      <c r="G17" s="24">
        <f ca="1">'104 (4)'!G17+'104 (8)'!G17</f>
        <v>0</v>
      </c>
      <c r="H17" s="24">
        <f ca="1">'104 (4)'!H17+'104 (8)'!H17</f>
        <v>0</v>
      </c>
      <c r="I17" s="24">
        <f ca="1">'104 (4)'!I17+'104 (8)'!I17</f>
        <v>0</v>
      </c>
      <c r="J17" s="24">
        <f ca="1">'104 (4)'!J17+'104 (8)'!J17</f>
        <v>0</v>
      </c>
      <c r="K17" s="24">
        <f ca="1">'104 (4)'!K17+'104 (8)'!K17</f>
        <v>0</v>
      </c>
      <c r="L17" s="24">
        <f ca="1">'104 (4)'!L17+'104 (8)'!L17</f>
        <v>0</v>
      </c>
      <c r="M17" s="24">
        <f ca="1">'104 (4)'!M17+'104 (8)'!M17</f>
        <v>0</v>
      </c>
      <c r="N17" s="24">
        <f ca="1">'104 (4)'!N17+'104 (8)'!N17</f>
        <v>0</v>
      </c>
      <c r="O17" s="24">
        <f ca="1">'104 (4)'!O17+'104 (8)'!O17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'104 (4)'!D18+'104 (8)'!D18</f>
        <v>3</v>
      </c>
      <c r="E18" s="24">
        <f ca="1">'104 (4)'!E18+'104 (8)'!E18</f>
        <v>0</v>
      </c>
      <c r="F18" s="24">
        <f ca="1">'104 (4)'!F18+'104 (8)'!F18</f>
        <v>0</v>
      </c>
      <c r="G18" s="24">
        <f ca="1">'104 (4)'!G18+'104 (8)'!G18</f>
        <v>0</v>
      </c>
      <c r="H18" s="24">
        <f ca="1">'104 (4)'!H18+'104 (8)'!H18</f>
        <v>0</v>
      </c>
      <c r="I18" s="24">
        <f ca="1">'104 (4)'!I18+'104 (8)'!I18</f>
        <v>0</v>
      </c>
      <c r="J18" s="24">
        <f ca="1">'104 (4)'!J18+'104 (8)'!J18</f>
        <v>0</v>
      </c>
      <c r="K18" s="24">
        <f ca="1">'104 (4)'!K18+'104 (8)'!K18</f>
        <v>0</v>
      </c>
      <c r="L18" s="24">
        <f ca="1">'104 (4)'!L18+'104 (8)'!L18</f>
        <v>0</v>
      </c>
      <c r="M18" s="24">
        <f ca="1">'104 (4)'!M18+'104 (8)'!M18</f>
        <v>0</v>
      </c>
      <c r="N18" s="24">
        <f ca="1">'104 (4)'!N18+'104 (8)'!N18</f>
        <v>0</v>
      </c>
      <c r="O18" s="24">
        <f ca="1">'104 (4)'!O18+'104 (8)'!O18</f>
        <v>0</v>
      </c>
    </row>
    <row r="19" spans="1:15">
      <c r="A19" s="27"/>
      <c r="B19" s="24"/>
      <c r="C19" s="33">
        <f>Справочник!J1</f>
        <v>2019</v>
      </c>
      <c r="D19" s="24">
        <f ca="1">'104 (4)'!D19+'104 (8)'!D19</f>
        <v>4</v>
      </c>
      <c r="E19" s="24">
        <f ca="1">'104 (4)'!E19+'104 (8)'!E19</f>
        <v>0</v>
      </c>
      <c r="F19" s="24">
        <f ca="1">'104 (4)'!F19+'104 (8)'!F19</f>
        <v>0</v>
      </c>
      <c r="G19" s="24">
        <f ca="1">'104 (4)'!G19+'104 (8)'!G19</f>
        <v>0</v>
      </c>
      <c r="H19" s="24">
        <f ca="1">'104 (4)'!H19+'104 (8)'!H19</f>
        <v>0</v>
      </c>
      <c r="I19" s="24">
        <f ca="1">'104 (4)'!I19+'104 (8)'!I19</f>
        <v>0</v>
      </c>
      <c r="J19" s="24">
        <f ca="1">'104 (4)'!J19+'104 (8)'!J19</f>
        <v>0</v>
      </c>
      <c r="K19" s="24">
        <f ca="1">'104 (4)'!K19+'104 (8)'!K19</f>
        <v>0</v>
      </c>
      <c r="L19" s="24">
        <f ca="1">'104 (4)'!L19+'104 (8)'!L19</f>
        <v>0</v>
      </c>
      <c r="M19" s="24">
        <f ca="1">'104 (4)'!M19+'104 (8)'!M19</f>
        <v>0</v>
      </c>
      <c r="N19" s="24">
        <f ca="1">'104 (4)'!N19+'104 (8)'!N19</f>
        <v>0</v>
      </c>
      <c r="O19" s="24">
        <f ca="1">'104 (4)'!O19+'104 (8)'!O19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'104 (4)'!D20+'104 (8)'!D20</f>
        <v>8</v>
      </c>
      <c r="E20" s="24">
        <f ca="1">'104 (4)'!E20+'104 (8)'!E20</f>
        <v>0</v>
      </c>
      <c r="F20" s="24">
        <f ca="1">'104 (4)'!F20+'104 (8)'!F20</f>
        <v>0</v>
      </c>
      <c r="G20" s="24">
        <f ca="1">'104 (4)'!G20+'104 (8)'!G20</f>
        <v>0</v>
      </c>
      <c r="H20" s="24">
        <f ca="1">'104 (4)'!H20+'104 (8)'!H20</f>
        <v>0</v>
      </c>
      <c r="I20" s="24">
        <f ca="1">'104 (4)'!I20+'104 (8)'!I20</f>
        <v>0</v>
      </c>
      <c r="J20" s="24">
        <f ca="1">'104 (4)'!J20+'104 (8)'!J20</f>
        <v>0</v>
      </c>
      <c r="K20" s="24">
        <f ca="1">'104 (4)'!K20+'104 (8)'!K20</f>
        <v>0</v>
      </c>
      <c r="L20" s="24">
        <f ca="1">'104 (4)'!L20+'104 (8)'!L20</f>
        <v>0</v>
      </c>
      <c r="M20" s="24">
        <f ca="1">'104 (4)'!M20+'104 (8)'!M20</f>
        <v>0</v>
      </c>
      <c r="N20" s="24">
        <f ca="1">'104 (4)'!N20+'104 (8)'!N20</f>
        <v>0</v>
      </c>
      <c r="O20" s="24">
        <f ca="1">'104 (4)'!O20+'104 (8)'!O20</f>
        <v>0</v>
      </c>
    </row>
    <row r="21" spans="1:15">
      <c r="A21" s="25"/>
      <c r="B21" s="24"/>
      <c r="C21" s="33">
        <f>Справочник!J1</f>
        <v>2019</v>
      </c>
      <c r="D21" s="24">
        <f ca="1">'104 (4)'!D21+'104 (8)'!D21</f>
        <v>7</v>
      </c>
      <c r="E21" s="24">
        <f ca="1">'104 (4)'!E21+'104 (8)'!E21</f>
        <v>0</v>
      </c>
      <c r="F21" s="24">
        <f ca="1">'104 (4)'!F21+'104 (8)'!F21</f>
        <v>0</v>
      </c>
      <c r="G21" s="24">
        <f ca="1">'104 (4)'!G21+'104 (8)'!G21</f>
        <v>0</v>
      </c>
      <c r="H21" s="24">
        <f ca="1">'104 (4)'!H21+'104 (8)'!H21</f>
        <v>0</v>
      </c>
      <c r="I21" s="24">
        <f ca="1">'104 (4)'!I21+'104 (8)'!I21</f>
        <v>0</v>
      </c>
      <c r="J21" s="24">
        <f ca="1">'104 (4)'!J21+'104 (8)'!J21</f>
        <v>0</v>
      </c>
      <c r="K21" s="24">
        <f ca="1">'104 (4)'!K21+'104 (8)'!K21</f>
        <v>0</v>
      </c>
      <c r="L21" s="24">
        <f ca="1">'104 (4)'!L21+'104 (8)'!L21</f>
        <v>0</v>
      </c>
      <c r="M21" s="24">
        <f ca="1">'104 (4)'!M21+'104 (8)'!M21</f>
        <v>0</v>
      </c>
      <c r="N21" s="24">
        <f ca="1">'104 (4)'!N21+'104 (8)'!N21</f>
        <v>0</v>
      </c>
      <c r="O21" s="24">
        <f ca="1">'104 (4)'!O21+'104 (8)'!O21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'104 (4)'!D22+'104 (8)'!D22</f>
        <v>3</v>
      </c>
      <c r="E22" s="24">
        <f ca="1">'104 (4)'!E22+'104 (8)'!E22</f>
        <v>0</v>
      </c>
      <c r="F22" s="24">
        <f ca="1">'104 (4)'!F22+'104 (8)'!F22</f>
        <v>0</v>
      </c>
      <c r="G22" s="24">
        <f ca="1">'104 (4)'!G22+'104 (8)'!G22</f>
        <v>0</v>
      </c>
      <c r="H22" s="24">
        <f ca="1">'104 (4)'!H22+'104 (8)'!H22</f>
        <v>0</v>
      </c>
      <c r="I22" s="24">
        <f ca="1">'104 (4)'!I22+'104 (8)'!I22</f>
        <v>0</v>
      </c>
      <c r="J22" s="24">
        <f ca="1">'104 (4)'!J22+'104 (8)'!J22</f>
        <v>0</v>
      </c>
      <c r="K22" s="24">
        <f ca="1">'104 (4)'!K22+'104 (8)'!K22</f>
        <v>0</v>
      </c>
      <c r="L22" s="24">
        <f ca="1">'104 (4)'!L22+'104 (8)'!L22</f>
        <v>0</v>
      </c>
      <c r="M22" s="24">
        <f ca="1">'104 (4)'!M22+'104 (8)'!M22</f>
        <v>0</v>
      </c>
      <c r="N22" s="24">
        <f ca="1">'104 (4)'!N22+'104 (8)'!N22</f>
        <v>0</v>
      </c>
      <c r="O22" s="24">
        <f ca="1">'104 (4)'!O22+'104 (8)'!O22</f>
        <v>0</v>
      </c>
    </row>
    <row r="23" spans="1:15">
      <c r="A23" s="27"/>
      <c r="B23" s="24"/>
      <c r="C23" s="33">
        <f>Справочник!J1</f>
        <v>2019</v>
      </c>
      <c r="D23" s="24">
        <f ca="1">'104 (4)'!D23+'104 (8)'!D23</f>
        <v>3</v>
      </c>
      <c r="E23" s="24">
        <f ca="1">'104 (4)'!E23+'104 (8)'!E23</f>
        <v>0</v>
      </c>
      <c r="F23" s="24">
        <f ca="1">'104 (4)'!F23+'104 (8)'!F23</f>
        <v>0</v>
      </c>
      <c r="G23" s="24">
        <f ca="1">'104 (4)'!G23+'104 (8)'!G23</f>
        <v>0</v>
      </c>
      <c r="H23" s="24">
        <f ca="1">'104 (4)'!H23+'104 (8)'!H23</f>
        <v>0</v>
      </c>
      <c r="I23" s="24">
        <f ca="1">'104 (4)'!I23+'104 (8)'!I23</f>
        <v>0</v>
      </c>
      <c r="J23" s="24">
        <f ca="1">'104 (4)'!J23+'104 (8)'!J23</f>
        <v>0</v>
      </c>
      <c r="K23" s="24">
        <f ca="1">'104 (4)'!K23+'104 (8)'!K23</f>
        <v>0</v>
      </c>
      <c r="L23" s="24">
        <f ca="1">'104 (4)'!L23+'104 (8)'!L23</f>
        <v>0</v>
      </c>
      <c r="M23" s="24">
        <f ca="1">'104 (4)'!M23+'104 (8)'!M23</f>
        <v>0</v>
      </c>
      <c r="N23" s="24">
        <f ca="1">'104 (4)'!N23+'104 (8)'!N23</f>
        <v>0</v>
      </c>
      <c r="O23" s="24">
        <f ca="1">'104 (4)'!O23+'104 (8)'!O23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'104 (4)'!D24+'104 (8)'!D24</f>
        <v>0</v>
      </c>
      <c r="E24" s="24">
        <f ca="1">'104 (4)'!E24+'104 (8)'!E24</f>
        <v>0</v>
      </c>
      <c r="F24" s="24">
        <f ca="1">'104 (4)'!F24+'104 (8)'!F24</f>
        <v>0</v>
      </c>
      <c r="G24" s="24">
        <f ca="1">'104 (4)'!G24+'104 (8)'!G24</f>
        <v>0</v>
      </c>
      <c r="H24" s="24">
        <f ca="1">'104 (4)'!H24+'104 (8)'!H24</f>
        <v>0</v>
      </c>
      <c r="I24" s="24">
        <f ca="1">'104 (4)'!I24+'104 (8)'!I24</f>
        <v>0</v>
      </c>
      <c r="J24" s="24">
        <f ca="1">'104 (4)'!J24+'104 (8)'!J24</f>
        <v>0</v>
      </c>
      <c r="K24" s="24">
        <f ca="1">'104 (4)'!K24+'104 (8)'!K24</f>
        <v>0</v>
      </c>
      <c r="L24" s="24">
        <f ca="1">'104 (4)'!L24+'104 (8)'!L24</f>
        <v>0</v>
      </c>
      <c r="M24" s="24">
        <f ca="1">'104 (4)'!M24+'104 (8)'!M24</f>
        <v>0</v>
      </c>
      <c r="N24" s="24">
        <f ca="1">'104 (4)'!N24+'104 (8)'!N24</f>
        <v>0</v>
      </c>
      <c r="O24" s="24">
        <f ca="1">'104 (4)'!O24+'104 (8)'!O24</f>
        <v>0</v>
      </c>
    </row>
    <row r="25" spans="1:15">
      <c r="A25" s="25"/>
      <c r="B25" s="24"/>
      <c r="C25" s="33">
        <f>Справочник!J1</f>
        <v>2019</v>
      </c>
      <c r="D25" s="24">
        <f ca="1">'104 (4)'!D25+'104 (8)'!D25</f>
        <v>0</v>
      </c>
      <c r="E25" s="24">
        <f ca="1">'104 (4)'!E25+'104 (8)'!E25</f>
        <v>0</v>
      </c>
      <c r="F25" s="24">
        <f ca="1">'104 (4)'!F25+'104 (8)'!F25</f>
        <v>0</v>
      </c>
      <c r="G25" s="24">
        <f ca="1">'104 (4)'!G25+'104 (8)'!G25</f>
        <v>0</v>
      </c>
      <c r="H25" s="24">
        <f ca="1">'104 (4)'!H25+'104 (8)'!H25</f>
        <v>0</v>
      </c>
      <c r="I25" s="24">
        <f ca="1">'104 (4)'!I25+'104 (8)'!I25</f>
        <v>0</v>
      </c>
      <c r="J25" s="24">
        <f ca="1">'104 (4)'!J25+'104 (8)'!J25</f>
        <v>0</v>
      </c>
      <c r="K25" s="24">
        <f ca="1">'104 (4)'!K25+'104 (8)'!K25</f>
        <v>0</v>
      </c>
      <c r="L25" s="24">
        <f ca="1">'104 (4)'!L25+'104 (8)'!L25</f>
        <v>0</v>
      </c>
      <c r="M25" s="24">
        <f ca="1">'104 (4)'!M25+'104 (8)'!M25</f>
        <v>0</v>
      </c>
      <c r="N25" s="24">
        <f ca="1">'104 (4)'!N25+'104 (8)'!N25</f>
        <v>0</v>
      </c>
      <c r="O25" s="24">
        <f ca="1">'104 (4)'!O25+'104 (8)'!O25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'104 (4)'!D26+'104 (8)'!D26</f>
        <v>0</v>
      </c>
      <c r="E26" s="24">
        <f ca="1">'104 (4)'!E26+'104 (8)'!E26</f>
        <v>0</v>
      </c>
      <c r="F26" s="24">
        <f ca="1">'104 (4)'!F26+'104 (8)'!F26</f>
        <v>0</v>
      </c>
      <c r="G26" s="24">
        <f ca="1">'104 (4)'!G26+'104 (8)'!G26</f>
        <v>0</v>
      </c>
      <c r="H26" s="24">
        <f ca="1">'104 (4)'!H26+'104 (8)'!H26</f>
        <v>0</v>
      </c>
      <c r="I26" s="24">
        <f ca="1">'104 (4)'!I26+'104 (8)'!I26</f>
        <v>0</v>
      </c>
      <c r="J26" s="24">
        <f ca="1">'104 (4)'!J26+'104 (8)'!J26</f>
        <v>0</v>
      </c>
      <c r="K26" s="24">
        <f ca="1">'104 (4)'!K26+'104 (8)'!K26</f>
        <v>0</v>
      </c>
      <c r="L26" s="24">
        <f ca="1">'104 (4)'!L26+'104 (8)'!L26</f>
        <v>0</v>
      </c>
      <c r="M26" s="24">
        <f ca="1">'104 (4)'!M26+'104 (8)'!M26</f>
        <v>0</v>
      </c>
      <c r="N26" s="24">
        <f ca="1">'104 (4)'!N26+'104 (8)'!N26</f>
        <v>0</v>
      </c>
      <c r="O26" s="24">
        <f ca="1">'104 (4)'!O26+'104 (8)'!O26</f>
        <v>0</v>
      </c>
    </row>
    <row r="27" spans="1:15">
      <c r="A27" s="29"/>
      <c r="B27" s="24"/>
      <c r="C27" s="33">
        <f>Справочник!J1</f>
        <v>2019</v>
      </c>
      <c r="D27" s="24">
        <f ca="1">'104 (4)'!D27+'104 (8)'!D27</f>
        <v>0</v>
      </c>
      <c r="E27" s="24">
        <f ca="1">'104 (4)'!E27+'104 (8)'!E27</f>
        <v>0</v>
      </c>
      <c r="F27" s="24">
        <f ca="1">'104 (4)'!F27+'104 (8)'!F27</f>
        <v>0</v>
      </c>
      <c r="G27" s="24">
        <f ca="1">'104 (4)'!G27+'104 (8)'!G27</f>
        <v>0</v>
      </c>
      <c r="H27" s="24">
        <f ca="1">'104 (4)'!H27+'104 (8)'!H27</f>
        <v>0</v>
      </c>
      <c r="I27" s="24">
        <f ca="1">'104 (4)'!I27+'104 (8)'!I27</f>
        <v>0</v>
      </c>
      <c r="J27" s="24">
        <f ca="1">'104 (4)'!J27+'104 (8)'!J27</f>
        <v>0</v>
      </c>
      <c r="K27" s="24">
        <f ca="1">'104 (4)'!K27+'104 (8)'!K27</f>
        <v>0</v>
      </c>
      <c r="L27" s="24">
        <f ca="1">'104 (4)'!L27+'104 (8)'!L27</f>
        <v>0</v>
      </c>
      <c r="M27" s="24">
        <f ca="1">'104 (4)'!M27+'104 (8)'!M27</f>
        <v>0</v>
      </c>
      <c r="N27" s="24">
        <f ca="1">'104 (4)'!N27+'104 (8)'!N27</f>
        <v>0</v>
      </c>
      <c r="O27" s="24">
        <f ca="1">'104 (4)'!O27+'104 (8)'!O27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'104 (4)'!D28+'104 (8)'!D28</f>
        <v>47</v>
      </c>
      <c r="E28" s="24">
        <f ca="1">'104 (4)'!E28+'104 (8)'!E28</f>
        <v>0</v>
      </c>
      <c r="F28" s="24">
        <f ca="1">'104 (4)'!F28+'104 (8)'!F28</f>
        <v>0</v>
      </c>
      <c r="G28" s="24">
        <f ca="1">'104 (4)'!G28+'104 (8)'!G28</f>
        <v>0</v>
      </c>
      <c r="H28" s="24">
        <f ca="1">'104 (4)'!H28+'104 (8)'!H28</f>
        <v>0</v>
      </c>
      <c r="I28" s="24">
        <f ca="1">'104 (4)'!I28+'104 (8)'!I28</f>
        <v>0</v>
      </c>
      <c r="J28" s="24">
        <f ca="1">'104 (4)'!J28+'104 (8)'!J28</f>
        <v>0</v>
      </c>
      <c r="K28" s="24">
        <f ca="1">'104 (4)'!K28+'104 (8)'!K28</f>
        <v>0</v>
      </c>
      <c r="L28" s="24">
        <f ca="1">'104 (4)'!L28+'104 (8)'!L28</f>
        <v>0</v>
      </c>
      <c r="M28" s="24">
        <f ca="1">'104 (4)'!M28+'104 (8)'!M28</f>
        <v>0</v>
      </c>
      <c r="N28" s="24">
        <f ca="1">'104 (4)'!N28+'104 (8)'!N28</f>
        <v>0</v>
      </c>
      <c r="O28" s="24">
        <f ca="1">'104 (4)'!O28+'104 (8)'!O28</f>
        <v>0</v>
      </c>
    </row>
    <row r="29" spans="1:15">
      <c r="A29" s="28"/>
      <c r="B29" s="24"/>
      <c r="C29" s="33">
        <f>Справочник!J1</f>
        <v>2019</v>
      </c>
      <c r="D29" s="24">
        <f ca="1">'104 (4)'!D29+'104 (8)'!D29</f>
        <v>23</v>
      </c>
      <c r="E29" s="24">
        <f ca="1">'104 (4)'!E29+'104 (8)'!E29</f>
        <v>0</v>
      </c>
      <c r="F29" s="24">
        <f ca="1">'104 (4)'!F29+'104 (8)'!F29</f>
        <v>0</v>
      </c>
      <c r="G29" s="24">
        <f ca="1">'104 (4)'!G29+'104 (8)'!G29</f>
        <v>0</v>
      </c>
      <c r="H29" s="24">
        <f ca="1">'104 (4)'!H29+'104 (8)'!H29</f>
        <v>0</v>
      </c>
      <c r="I29" s="24">
        <f ca="1">'104 (4)'!I29+'104 (8)'!I29</f>
        <v>0</v>
      </c>
      <c r="J29" s="24">
        <f ca="1">'104 (4)'!J29+'104 (8)'!J29</f>
        <v>0</v>
      </c>
      <c r="K29" s="24">
        <f ca="1">'104 (4)'!K29+'104 (8)'!K29</f>
        <v>0</v>
      </c>
      <c r="L29" s="24">
        <f ca="1">'104 (4)'!L29+'104 (8)'!L29</f>
        <v>0</v>
      </c>
      <c r="M29" s="24">
        <f ca="1">'104 (4)'!M29+'104 (8)'!M29</f>
        <v>0</v>
      </c>
      <c r="N29" s="24">
        <f ca="1">'104 (4)'!N29+'104 (8)'!N29</f>
        <v>0</v>
      </c>
      <c r="O29" s="24">
        <f ca="1">'104 (4)'!O29+'104 (8)'!O29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'104 (4)'!D30+'104 (8)'!D30</f>
        <v>0</v>
      </c>
      <c r="E30" s="24">
        <f ca="1">'104 (4)'!E30+'104 (8)'!E30</f>
        <v>0</v>
      </c>
      <c r="F30" s="24">
        <f ca="1">'104 (4)'!F30+'104 (8)'!F30</f>
        <v>0</v>
      </c>
      <c r="G30" s="24">
        <f ca="1">'104 (4)'!G30+'104 (8)'!G30</f>
        <v>0</v>
      </c>
      <c r="H30" s="24">
        <f ca="1">'104 (4)'!H30+'104 (8)'!H30</f>
        <v>0</v>
      </c>
      <c r="I30" s="24">
        <f ca="1">'104 (4)'!I30+'104 (8)'!I30</f>
        <v>0</v>
      </c>
      <c r="J30" s="24">
        <f ca="1">'104 (4)'!J30+'104 (8)'!J30</f>
        <v>0</v>
      </c>
      <c r="K30" s="24">
        <f ca="1">'104 (4)'!K30+'104 (8)'!K30</f>
        <v>0</v>
      </c>
      <c r="L30" s="24">
        <f ca="1">'104 (4)'!L30+'104 (8)'!L30</f>
        <v>0</v>
      </c>
      <c r="M30" s="24">
        <f ca="1">'104 (4)'!M30+'104 (8)'!M30</f>
        <v>0</v>
      </c>
      <c r="N30" s="24">
        <f ca="1">'104 (4)'!N30+'104 (8)'!N30</f>
        <v>0</v>
      </c>
      <c r="O30" s="24">
        <f ca="1">'104 (4)'!O30+'104 (8)'!O30</f>
        <v>0</v>
      </c>
    </row>
    <row r="31" spans="1:15">
      <c r="A31" s="27"/>
      <c r="B31" s="24"/>
      <c r="C31" s="33">
        <f>Справочник!J1</f>
        <v>2019</v>
      </c>
      <c r="D31" s="24">
        <f ca="1">'104 (4)'!D31+'104 (8)'!D31</f>
        <v>1</v>
      </c>
      <c r="E31" s="24">
        <f ca="1">'104 (4)'!E31+'104 (8)'!E31</f>
        <v>0</v>
      </c>
      <c r="F31" s="24">
        <f ca="1">'104 (4)'!F31+'104 (8)'!F31</f>
        <v>0</v>
      </c>
      <c r="G31" s="24">
        <f ca="1">'104 (4)'!G31+'104 (8)'!G31</f>
        <v>0</v>
      </c>
      <c r="H31" s="24">
        <f ca="1">'104 (4)'!H31+'104 (8)'!H31</f>
        <v>0</v>
      </c>
      <c r="I31" s="24">
        <f ca="1">'104 (4)'!I31+'104 (8)'!I31</f>
        <v>0</v>
      </c>
      <c r="J31" s="24">
        <f ca="1">'104 (4)'!J31+'104 (8)'!J31</f>
        <v>0</v>
      </c>
      <c r="K31" s="24">
        <f ca="1">'104 (4)'!K31+'104 (8)'!K31</f>
        <v>0</v>
      </c>
      <c r="L31" s="24">
        <f ca="1">'104 (4)'!L31+'104 (8)'!L31</f>
        <v>0</v>
      </c>
      <c r="M31" s="24">
        <f ca="1">'104 (4)'!M31+'104 (8)'!M31</f>
        <v>0</v>
      </c>
      <c r="N31" s="24">
        <f ca="1">'104 (4)'!N31+'104 (8)'!N31</f>
        <v>0</v>
      </c>
      <c r="O31" s="24">
        <f ca="1">'104 (4)'!O31+'104 (8)'!O31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'104 (4)'!D32+'104 (8)'!D32</f>
        <v>0</v>
      </c>
      <c r="E32" s="24">
        <f ca="1">'104 (4)'!E32+'104 (8)'!E32</f>
        <v>0</v>
      </c>
      <c r="F32" s="24">
        <f ca="1">'104 (4)'!F32+'104 (8)'!F32</f>
        <v>0</v>
      </c>
      <c r="G32" s="24">
        <f ca="1">'104 (4)'!G32+'104 (8)'!G32</f>
        <v>0</v>
      </c>
      <c r="H32" s="24">
        <f ca="1">'104 (4)'!H32+'104 (8)'!H32</f>
        <v>0</v>
      </c>
      <c r="I32" s="24">
        <f ca="1">'104 (4)'!I32+'104 (8)'!I32</f>
        <v>0</v>
      </c>
      <c r="J32" s="24">
        <f ca="1">'104 (4)'!J32+'104 (8)'!J32</f>
        <v>0</v>
      </c>
      <c r="K32" s="24">
        <f ca="1">'104 (4)'!K32+'104 (8)'!K32</f>
        <v>0</v>
      </c>
      <c r="L32" s="24">
        <f ca="1">'104 (4)'!L32+'104 (8)'!L32</f>
        <v>0</v>
      </c>
      <c r="M32" s="24">
        <f ca="1">'104 (4)'!M32+'104 (8)'!M32</f>
        <v>0</v>
      </c>
      <c r="N32" s="24">
        <f ca="1">'104 (4)'!N32+'104 (8)'!N32</f>
        <v>0</v>
      </c>
      <c r="O32" s="24">
        <f ca="1">'104 (4)'!O32+'104 (8)'!O32</f>
        <v>0</v>
      </c>
    </row>
    <row r="33" spans="1:15">
      <c r="A33" s="25"/>
      <c r="B33" s="24"/>
      <c r="C33" s="33">
        <f>Справочник!J1</f>
        <v>2019</v>
      </c>
      <c r="D33" s="24">
        <f ca="1">'104 (4)'!D33+'104 (8)'!D33</f>
        <v>0</v>
      </c>
      <c r="E33" s="24">
        <f ca="1">'104 (4)'!E33+'104 (8)'!E33</f>
        <v>0</v>
      </c>
      <c r="F33" s="24">
        <f ca="1">'104 (4)'!F33+'104 (8)'!F33</f>
        <v>0</v>
      </c>
      <c r="G33" s="24">
        <f ca="1">'104 (4)'!G33+'104 (8)'!G33</f>
        <v>0</v>
      </c>
      <c r="H33" s="24">
        <f ca="1">'104 (4)'!H33+'104 (8)'!H33</f>
        <v>0</v>
      </c>
      <c r="I33" s="24">
        <f ca="1">'104 (4)'!I33+'104 (8)'!I33</f>
        <v>0</v>
      </c>
      <c r="J33" s="24">
        <f ca="1">'104 (4)'!J33+'104 (8)'!J33</f>
        <v>0</v>
      </c>
      <c r="K33" s="24">
        <f ca="1">'104 (4)'!K33+'104 (8)'!K33</f>
        <v>0</v>
      </c>
      <c r="L33" s="24">
        <f ca="1">'104 (4)'!L33+'104 (8)'!L33</f>
        <v>0</v>
      </c>
      <c r="M33" s="24">
        <f ca="1">'104 (4)'!M33+'104 (8)'!M33</f>
        <v>0</v>
      </c>
      <c r="N33" s="24">
        <f ca="1">'104 (4)'!N33+'104 (8)'!N33</f>
        <v>0</v>
      </c>
      <c r="O33" s="24">
        <f ca="1">'104 (4)'!O33+'104 (8)'!O33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'104 (4)'!D34+'104 (8)'!D34</f>
        <v>1</v>
      </c>
      <c r="E34" s="24">
        <f ca="1">'104 (4)'!E34+'104 (8)'!E34</f>
        <v>0</v>
      </c>
      <c r="F34" s="24">
        <f ca="1">'104 (4)'!F34+'104 (8)'!F34</f>
        <v>0</v>
      </c>
      <c r="G34" s="24">
        <f ca="1">'104 (4)'!G34+'104 (8)'!G34</f>
        <v>0</v>
      </c>
      <c r="H34" s="24">
        <f ca="1">'104 (4)'!H34+'104 (8)'!H34</f>
        <v>0</v>
      </c>
      <c r="I34" s="24">
        <f ca="1">'104 (4)'!I34+'104 (8)'!I34</f>
        <v>0</v>
      </c>
      <c r="J34" s="24">
        <f ca="1">'104 (4)'!J34+'104 (8)'!J34</f>
        <v>0</v>
      </c>
      <c r="K34" s="24">
        <f ca="1">'104 (4)'!K34+'104 (8)'!K34</f>
        <v>0</v>
      </c>
      <c r="L34" s="24">
        <f ca="1">'104 (4)'!L34+'104 (8)'!L34</f>
        <v>0</v>
      </c>
      <c r="M34" s="24">
        <f ca="1">'104 (4)'!M34+'104 (8)'!M34</f>
        <v>0</v>
      </c>
      <c r="N34" s="24">
        <f ca="1">'104 (4)'!N34+'104 (8)'!N34</f>
        <v>0</v>
      </c>
      <c r="O34" s="24">
        <f ca="1">'104 (4)'!O34+'104 (8)'!O34</f>
        <v>0</v>
      </c>
    </row>
    <row r="35" spans="1:15">
      <c r="A35" s="27"/>
      <c r="B35" s="24"/>
      <c r="C35" s="33">
        <f>Справочник!J1</f>
        <v>2019</v>
      </c>
      <c r="D35" s="24">
        <f ca="1">'104 (4)'!D35+'104 (8)'!D35</f>
        <v>2</v>
      </c>
      <c r="E35" s="24">
        <f ca="1">'104 (4)'!E35+'104 (8)'!E35</f>
        <v>0</v>
      </c>
      <c r="F35" s="24">
        <f ca="1">'104 (4)'!F35+'104 (8)'!F35</f>
        <v>0</v>
      </c>
      <c r="G35" s="24">
        <f ca="1">'104 (4)'!G35+'104 (8)'!G35</f>
        <v>0</v>
      </c>
      <c r="H35" s="24">
        <f ca="1">'104 (4)'!H35+'104 (8)'!H35</f>
        <v>0</v>
      </c>
      <c r="I35" s="24">
        <f ca="1">'104 (4)'!I35+'104 (8)'!I35</f>
        <v>0</v>
      </c>
      <c r="J35" s="24">
        <f ca="1">'104 (4)'!J35+'104 (8)'!J35</f>
        <v>0</v>
      </c>
      <c r="K35" s="24">
        <f ca="1">'104 (4)'!K35+'104 (8)'!K35</f>
        <v>0</v>
      </c>
      <c r="L35" s="24">
        <f ca="1">'104 (4)'!L35+'104 (8)'!L35</f>
        <v>0</v>
      </c>
      <c r="M35" s="24">
        <f ca="1">'104 (4)'!M35+'104 (8)'!M35</f>
        <v>0</v>
      </c>
      <c r="N35" s="24">
        <f ca="1">'104 (4)'!N35+'104 (8)'!N35</f>
        <v>0</v>
      </c>
      <c r="O35" s="24">
        <f ca="1">'104 (4)'!O35+'104 (8)'!O35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'104 (4)'!D36+'104 (8)'!D36</f>
        <v>72</v>
      </c>
      <c r="E36" s="24">
        <f ca="1">'104 (4)'!E36+'104 (8)'!E36</f>
        <v>0</v>
      </c>
      <c r="F36" s="24">
        <f ca="1">'104 (4)'!F36+'104 (8)'!F36</f>
        <v>0</v>
      </c>
      <c r="G36" s="24">
        <f ca="1">'104 (4)'!G36+'104 (8)'!G36</f>
        <v>0</v>
      </c>
      <c r="H36" s="24">
        <f ca="1">'104 (4)'!H36+'104 (8)'!H36</f>
        <v>0</v>
      </c>
      <c r="I36" s="24">
        <f ca="1">'104 (4)'!I36+'104 (8)'!I36</f>
        <v>0</v>
      </c>
      <c r="J36" s="24">
        <f ca="1">'104 (4)'!J36+'104 (8)'!J36</f>
        <v>0</v>
      </c>
      <c r="K36" s="24">
        <f ca="1">'104 (4)'!K36+'104 (8)'!K36</f>
        <v>0</v>
      </c>
      <c r="L36" s="24">
        <f ca="1">'104 (4)'!L36+'104 (8)'!L36</f>
        <v>0</v>
      </c>
      <c r="M36" s="24">
        <f ca="1">'104 (4)'!M36+'104 (8)'!M36</f>
        <v>0</v>
      </c>
      <c r="N36" s="24">
        <f ca="1">'104 (4)'!N36+'104 (8)'!N36</f>
        <v>0</v>
      </c>
      <c r="O36" s="24">
        <f ca="1">'104 (4)'!O36+'104 (8)'!O36</f>
        <v>0</v>
      </c>
    </row>
    <row r="37" spans="1:15">
      <c r="A37" s="25"/>
      <c r="B37" s="24"/>
      <c r="C37" s="33">
        <f>Справочник!J1</f>
        <v>2019</v>
      </c>
      <c r="D37" s="24">
        <f ca="1">'104 (4)'!D37+'104 (8)'!D37</f>
        <v>69</v>
      </c>
      <c r="E37" s="24">
        <f ca="1">'104 (4)'!E37+'104 (8)'!E37</f>
        <v>0</v>
      </c>
      <c r="F37" s="24">
        <f ca="1">'104 (4)'!F37+'104 (8)'!F37</f>
        <v>0</v>
      </c>
      <c r="G37" s="24">
        <f ca="1">'104 (4)'!G37+'104 (8)'!G37</f>
        <v>0</v>
      </c>
      <c r="H37" s="24">
        <f ca="1">'104 (4)'!H37+'104 (8)'!H37</f>
        <v>0</v>
      </c>
      <c r="I37" s="24">
        <f ca="1">'104 (4)'!I37+'104 (8)'!I37</f>
        <v>0</v>
      </c>
      <c r="J37" s="24">
        <f ca="1">'104 (4)'!J37+'104 (8)'!J37</f>
        <v>0</v>
      </c>
      <c r="K37" s="24">
        <f ca="1">'104 (4)'!K37+'104 (8)'!K37</f>
        <v>0</v>
      </c>
      <c r="L37" s="24">
        <f ca="1">'104 (4)'!L37+'104 (8)'!L37</f>
        <v>0</v>
      </c>
      <c r="M37" s="24">
        <f ca="1">'104 (4)'!M37+'104 (8)'!M37</f>
        <v>0</v>
      </c>
      <c r="N37" s="24">
        <f ca="1">'104 (4)'!N37+'104 (8)'!N37</f>
        <v>0</v>
      </c>
      <c r="O37" s="24">
        <f ca="1">'104 (4)'!O37+'104 (8)'!O37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'104 (4)'!D38+'104 (8)'!D38</f>
        <v>2</v>
      </c>
      <c r="E38" s="24">
        <f ca="1">'104 (4)'!E38+'104 (8)'!E38</f>
        <v>0</v>
      </c>
      <c r="F38" s="24">
        <f ca="1">'104 (4)'!F38+'104 (8)'!F38</f>
        <v>0</v>
      </c>
      <c r="G38" s="24">
        <f ca="1">'104 (4)'!G38+'104 (8)'!G38</f>
        <v>0</v>
      </c>
      <c r="H38" s="24">
        <f ca="1">'104 (4)'!H38+'104 (8)'!H38</f>
        <v>0</v>
      </c>
      <c r="I38" s="24">
        <f ca="1">'104 (4)'!I38+'104 (8)'!I38</f>
        <v>0</v>
      </c>
      <c r="J38" s="24">
        <f ca="1">'104 (4)'!J38+'104 (8)'!J38</f>
        <v>0</v>
      </c>
      <c r="K38" s="24">
        <f ca="1">'104 (4)'!K38+'104 (8)'!K38</f>
        <v>0</v>
      </c>
      <c r="L38" s="24">
        <f ca="1">'104 (4)'!L38+'104 (8)'!L38</f>
        <v>0</v>
      </c>
      <c r="M38" s="24">
        <f ca="1">'104 (4)'!M38+'104 (8)'!M38</f>
        <v>0</v>
      </c>
      <c r="N38" s="24">
        <f ca="1">'104 (4)'!N38+'104 (8)'!N38</f>
        <v>0</v>
      </c>
      <c r="O38" s="24">
        <f ca="1">'104 (4)'!O38+'104 (8)'!O38</f>
        <v>0</v>
      </c>
    </row>
    <row r="39" spans="1:15">
      <c r="A39" s="25"/>
      <c r="B39" s="24"/>
      <c r="C39" s="33">
        <f>Справочник!J1</f>
        <v>2019</v>
      </c>
      <c r="D39" s="24">
        <f ca="1">'104 (4)'!D39+'104 (8)'!D39</f>
        <v>4</v>
      </c>
      <c r="E39" s="24">
        <f ca="1">'104 (4)'!E39+'104 (8)'!E39</f>
        <v>0</v>
      </c>
      <c r="F39" s="24">
        <f ca="1">'104 (4)'!F39+'104 (8)'!F39</f>
        <v>0</v>
      </c>
      <c r="G39" s="24">
        <f ca="1">'104 (4)'!G39+'104 (8)'!G39</f>
        <v>0</v>
      </c>
      <c r="H39" s="24">
        <f ca="1">'104 (4)'!H39+'104 (8)'!H39</f>
        <v>0</v>
      </c>
      <c r="I39" s="24">
        <f ca="1">'104 (4)'!I39+'104 (8)'!I39</f>
        <v>0</v>
      </c>
      <c r="J39" s="24">
        <f ca="1">'104 (4)'!J39+'104 (8)'!J39</f>
        <v>0</v>
      </c>
      <c r="K39" s="24">
        <f ca="1">'104 (4)'!K39+'104 (8)'!K39</f>
        <v>0</v>
      </c>
      <c r="L39" s="24">
        <f ca="1">'104 (4)'!L39+'104 (8)'!L39</f>
        <v>0</v>
      </c>
      <c r="M39" s="24">
        <f ca="1">'104 (4)'!M39+'104 (8)'!M39</f>
        <v>0</v>
      </c>
      <c r="N39" s="24">
        <f ca="1">'104 (4)'!N39+'104 (8)'!N39</f>
        <v>0</v>
      </c>
      <c r="O39" s="24">
        <f ca="1">'104 (4)'!O39+'104 (8)'!O39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'104 (4)'!D40+'104 (8)'!D40</f>
        <v>27</v>
      </c>
      <c r="E40" s="24">
        <f ca="1">'104 (4)'!E40+'104 (8)'!E40</f>
        <v>0</v>
      </c>
      <c r="F40" s="24">
        <f ca="1">'104 (4)'!F40+'104 (8)'!F40</f>
        <v>0</v>
      </c>
      <c r="G40" s="24">
        <f ca="1">'104 (4)'!G40+'104 (8)'!G40</f>
        <v>0</v>
      </c>
      <c r="H40" s="24">
        <f ca="1">'104 (4)'!H40+'104 (8)'!H40</f>
        <v>0</v>
      </c>
      <c r="I40" s="24">
        <f ca="1">'104 (4)'!I40+'104 (8)'!I40</f>
        <v>0</v>
      </c>
      <c r="J40" s="24">
        <f ca="1">'104 (4)'!J40+'104 (8)'!J40</f>
        <v>0</v>
      </c>
      <c r="K40" s="24">
        <f ca="1">'104 (4)'!K40+'104 (8)'!K40</f>
        <v>0</v>
      </c>
      <c r="L40" s="24">
        <f ca="1">'104 (4)'!L40+'104 (8)'!L40</f>
        <v>0</v>
      </c>
      <c r="M40" s="24">
        <f ca="1">'104 (4)'!M40+'104 (8)'!M40</f>
        <v>0</v>
      </c>
      <c r="N40" s="24">
        <f ca="1">'104 (4)'!N40+'104 (8)'!N40</f>
        <v>0</v>
      </c>
      <c r="O40" s="24">
        <f ca="1">'104 (4)'!O40+'104 (8)'!O40</f>
        <v>0</v>
      </c>
    </row>
    <row r="41" spans="1:15">
      <c r="A41" s="25"/>
      <c r="B41" s="24"/>
      <c r="C41" s="33">
        <f>Справочник!J1</f>
        <v>2019</v>
      </c>
      <c r="D41" s="24">
        <f ca="1">'104 (4)'!D41+'104 (8)'!D41</f>
        <v>23</v>
      </c>
      <c r="E41" s="24">
        <f ca="1">'104 (4)'!E41+'104 (8)'!E41</f>
        <v>0</v>
      </c>
      <c r="F41" s="24">
        <f ca="1">'104 (4)'!F41+'104 (8)'!F41</f>
        <v>0</v>
      </c>
      <c r="G41" s="24">
        <f ca="1">'104 (4)'!G41+'104 (8)'!G41</f>
        <v>0</v>
      </c>
      <c r="H41" s="24">
        <f ca="1">'104 (4)'!H41+'104 (8)'!H41</f>
        <v>0</v>
      </c>
      <c r="I41" s="24">
        <f ca="1">'104 (4)'!I41+'104 (8)'!I41</f>
        <v>0</v>
      </c>
      <c r="J41" s="24">
        <f ca="1">'104 (4)'!J41+'104 (8)'!J41</f>
        <v>0</v>
      </c>
      <c r="K41" s="24">
        <f ca="1">'104 (4)'!K41+'104 (8)'!K41</f>
        <v>0</v>
      </c>
      <c r="L41" s="24">
        <f ca="1">'104 (4)'!L41+'104 (8)'!L41</f>
        <v>0</v>
      </c>
      <c r="M41" s="24">
        <f ca="1">'104 (4)'!M41+'104 (8)'!M41</f>
        <v>0</v>
      </c>
      <c r="N41" s="24">
        <f ca="1">'104 (4)'!N41+'104 (8)'!N41</f>
        <v>0</v>
      </c>
      <c r="O41" s="24">
        <f ca="1">'104 (4)'!O41+'104 (8)'!O41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'104 (4)'!D42+'104 (8)'!D42</f>
        <v>45</v>
      </c>
      <c r="E42" s="24">
        <f ca="1">'104 (4)'!E42+'104 (8)'!E42</f>
        <v>0</v>
      </c>
      <c r="F42" s="24">
        <f ca="1">'104 (4)'!F42+'104 (8)'!F42</f>
        <v>0</v>
      </c>
      <c r="G42" s="24">
        <f ca="1">'104 (4)'!G42+'104 (8)'!G42</f>
        <v>0</v>
      </c>
      <c r="H42" s="24">
        <f ca="1">'104 (4)'!H42+'104 (8)'!H42</f>
        <v>0</v>
      </c>
      <c r="I42" s="24">
        <f ca="1">'104 (4)'!I42+'104 (8)'!I42</f>
        <v>0</v>
      </c>
      <c r="J42" s="24">
        <f ca="1">'104 (4)'!J42+'104 (8)'!J42</f>
        <v>0</v>
      </c>
      <c r="K42" s="24">
        <f ca="1">'104 (4)'!K42+'104 (8)'!K42</f>
        <v>0</v>
      </c>
      <c r="L42" s="24">
        <f ca="1">'104 (4)'!L42+'104 (8)'!L42</f>
        <v>0</v>
      </c>
      <c r="M42" s="24">
        <f ca="1">'104 (4)'!M42+'104 (8)'!M42</f>
        <v>0</v>
      </c>
      <c r="N42" s="24">
        <f ca="1">'104 (4)'!N42+'104 (8)'!N42</f>
        <v>0</v>
      </c>
      <c r="O42" s="24">
        <f ca="1">'104 (4)'!O42+'104 (8)'!O42</f>
        <v>0</v>
      </c>
    </row>
    <row r="43" spans="1:15">
      <c r="A43" s="25"/>
      <c r="B43" s="24"/>
      <c r="C43" s="33">
        <f>Справочник!J1</f>
        <v>2019</v>
      </c>
      <c r="D43" s="24">
        <f ca="1">'104 (4)'!D43+'104 (8)'!D43</f>
        <v>38</v>
      </c>
      <c r="E43" s="24">
        <f ca="1">'104 (4)'!E43+'104 (8)'!E43</f>
        <v>0</v>
      </c>
      <c r="F43" s="24">
        <f ca="1">'104 (4)'!F43+'104 (8)'!F43</f>
        <v>0</v>
      </c>
      <c r="G43" s="24">
        <f ca="1">'104 (4)'!G43+'104 (8)'!G43</f>
        <v>0</v>
      </c>
      <c r="H43" s="24">
        <f ca="1">'104 (4)'!H43+'104 (8)'!H43</f>
        <v>0</v>
      </c>
      <c r="I43" s="24">
        <f ca="1">'104 (4)'!I43+'104 (8)'!I43</f>
        <v>0</v>
      </c>
      <c r="J43" s="24">
        <f ca="1">'104 (4)'!J43+'104 (8)'!J43</f>
        <v>0</v>
      </c>
      <c r="K43" s="24">
        <f ca="1">'104 (4)'!K43+'104 (8)'!K43</f>
        <v>0</v>
      </c>
      <c r="L43" s="24">
        <f ca="1">'104 (4)'!L43+'104 (8)'!L43</f>
        <v>0</v>
      </c>
      <c r="M43" s="24">
        <f ca="1">'104 (4)'!M43+'104 (8)'!M43</f>
        <v>0</v>
      </c>
      <c r="N43" s="24">
        <f ca="1">'104 (4)'!N43+'104 (8)'!N43</f>
        <v>0</v>
      </c>
      <c r="O43" s="24">
        <f ca="1">'104 (4)'!O43+'104 (8)'!O43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'104 (4)'!D44+'104 (8)'!D44</f>
        <v>13</v>
      </c>
      <c r="E44" s="24">
        <f ca="1">'104 (4)'!E44+'104 (8)'!E44</f>
        <v>0</v>
      </c>
      <c r="F44" s="24">
        <f ca="1">'104 (4)'!F44+'104 (8)'!F44</f>
        <v>0</v>
      </c>
      <c r="G44" s="24">
        <f ca="1">'104 (4)'!G44+'104 (8)'!G44</f>
        <v>0</v>
      </c>
      <c r="H44" s="24">
        <f ca="1">'104 (4)'!H44+'104 (8)'!H44</f>
        <v>0</v>
      </c>
      <c r="I44" s="24">
        <f ca="1">'104 (4)'!I44+'104 (8)'!I44</f>
        <v>0</v>
      </c>
      <c r="J44" s="24">
        <f ca="1">'104 (4)'!J44+'104 (8)'!J44</f>
        <v>0</v>
      </c>
      <c r="K44" s="24">
        <f ca="1">'104 (4)'!K44+'104 (8)'!K44</f>
        <v>0</v>
      </c>
      <c r="L44" s="24">
        <f ca="1">'104 (4)'!L44+'104 (8)'!L44</f>
        <v>0</v>
      </c>
      <c r="M44" s="24">
        <f ca="1">'104 (4)'!M44+'104 (8)'!M44</f>
        <v>0</v>
      </c>
      <c r="N44" s="24">
        <f ca="1">'104 (4)'!N44+'104 (8)'!N44</f>
        <v>0</v>
      </c>
      <c r="O44" s="24">
        <f ca="1">'104 (4)'!O44+'104 (8)'!O44</f>
        <v>0</v>
      </c>
    </row>
    <row r="45" spans="1:15">
      <c r="A45" s="25"/>
      <c r="B45" s="24"/>
      <c r="C45" s="33">
        <f>Справочник!J1</f>
        <v>2019</v>
      </c>
      <c r="D45" s="24">
        <f ca="1">'104 (4)'!D45+'104 (8)'!D45</f>
        <v>2</v>
      </c>
      <c r="E45" s="24">
        <f ca="1">'104 (4)'!E45+'104 (8)'!E45</f>
        <v>0</v>
      </c>
      <c r="F45" s="24">
        <f ca="1">'104 (4)'!F45+'104 (8)'!F45</f>
        <v>0</v>
      </c>
      <c r="G45" s="24">
        <f ca="1">'104 (4)'!G45+'104 (8)'!G45</f>
        <v>0</v>
      </c>
      <c r="H45" s="24">
        <f ca="1">'104 (4)'!H45+'104 (8)'!H45</f>
        <v>0</v>
      </c>
      <c r="I45" s="24">
        <f ca="1">'104 (4)'!I45+'104 (8)'!I45</f>
        <v>0</v>
      </c>
      <c r="J45" s="24">
        <f ca="1">'104 (4)'!J45+'104 (8)'!J45</f>
        <v>0</v>
      </c>
      <c r="K45" s="24">
        <f ca="1">'104 (4)'!K45+'104 (8)'!K45</f>
        <v>0</v>
      </c>
      <c r="L45" s="24">
        <f ca="1">'104 (4)'!L45+'104 (8)'!L45</f>
        <v>0</v>
      </c>
      <c r="M45" s="24">
        <f ca="1">'104 (4)'!M45+'104 (8)'!M45</f>
        <v>0</v>
      </c>
      <c r="N45" s="24">
        <f ca="1">'104 (4)'!N45+'104 (8)'!N45</f>
        <v>0</v>
      </c>
      <c r="O45" s="24">
        <f ca="1">'104 (4)'!O45+'104 (8)'!O45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'104 (4)'!D46+'104 (8)'!D46</f>
        <v>10</v>
      </c>
      <c r="E46" s="24">
        <f ca="1">'104 (4)'!E46+'104 (8)'!E46</f>
        <v>0</v>
      </c>
      <c r="F46" s="24">
        <f ca="1">'104 (4)'!F46+'104 (8)'!F46</f>
        <v>0</v>
      </c>
      <c r="G46" s="24">
        <f ca="1">'104 (4)'!G46+'104 (8)'!G46</f>
        <v>0</v>
      </c>
      <c r="H46" s="24">
        <f ca="1">'104 (4)'!H46+'104 (8)'!H46</f>
        <v>0</v>
      </c>
      <c r="I46" s="24">
        <f ca="1">'104 (4)'!I46+'104 (8)'!I46</f>
        <v>0</v>
      </c>
      <c r="J46" s="24">
        <f ca="1">'104 (4)'!J46+'104 (8)'!J46</f>
        <v>0</v>
      </c>
      <c r="K46" s="24">
        <f ca="1">'104 (4)'!K46+'104 (8)'!K46</f>
        <v>0</v>
      </c>
      <c r="L46" s="24">
        <f ca="1">'104 (4)'!L46+'104 (8)'!L46</f>
        <v>0</v>
      </c>
      <c r="M46" s="24">
        <f ca="1">'104 (4)'!M46+'104 (8)'!M46</f>
        <v>0</v>
      </c>
      <c r="N46" s="24">
        <f ca="1">'104 (4)'!N46+'104 (8)'!N46</f>
        <v>0</v>
      </c>
      <c r="O46" s="24">
        <f ca="1">'104 (4)'!O46+'104 (8)'!O46</f>
        <v>0</v>
      </c>
    </row>
    <row r="47" spans="1:15">
      <c r="A47" s="25"/>
      <c r="B47" s="24"/>
      <c r="C47" s="33">
        <f>Справочник!J1</f>
        <v>2019</v>
      </c>
      <c r="D47" s="24">
        <f ca="1">'104 (4)'!D47+'104 (8)'!D47</f>
        <v>0</v>
      </c>
      <c r="E47" s="24">
        <f ca="1">'104 (4)'!E47+'104 (8)'!E47</f>
        <v>0</v>
      </c>
      <c r="F47" s="24">
        <f ca="1">'104 (4)'!F47+'104 (8)'!F47</f>
        <v>0</v>
      </c>
      <c r="G47" s="24">
        <f ca="1">'104 (4)'!G47+'104 (8)'!G47</f>
        <v>0</v>
      </c>
      <c r="H47" s="24">
        <f ca="1">'104 (4)'!H47+'104 (8)'!H47</f>
        <v>0</v>
      </c>
      <c r="I47" s="24">
        <f ca="1">'104 (4)'!I47+'104 (8)'!I47</f>
        <v>0</v>
      </c>
      <c r="J47" s="24">
        <f ca="1">'104 (4)'!J47+'104 (8)'!J47</f>
        <v>0</v>
      </c>
      <c r="K47" s="24">
        <f ca="1">'104 (4)'!K47+'104 (8)'!K47</f>
        <v>0</v>
      </c>
      <c r="L47" s="24">
        <f ca="1">'104 (4)'!L47+'104 (8)'!L47</f>
        <v>0</v>
      </c>
      <c r="M47" s="24">
        <f ca="1">'104 (4)'!M47+'104 (8)'!M47</f>
        <v>0</v>
      </c>
      <c r="N47" s="24">
        <f ca="1">'104 (4)'!N47+'104 (8)'!N47</f>
        <v>0</v>
      </c>
      <c r="O47" s="24">
        <f ca="1">'104 (4)'!O47+'104 (8)'!O47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'104 (4)'!D48+'104 (8)'!D48</f>
        <v>40</v>
      </c>
      <c r="E48" s="24">
        <f ca="1">'104 (4)'!E48+'104 (8)'!E48</f>
        <v>0</v>
      </c>
      <c r="F48" s="24">
        <f ca="1">'104 (4)'!F48+'104 (8)'!F48</f>
        <v>0</v>
      </c>
      <c r="G48" s="24">
        <f ca="1">'104 (4)'!G48+'104 (8)'!G48</f>
        <v>0</v>
      </c>
      <c r="H48" s="24">
        <f ca="1">'104 (4)'!H48+'104 (8)'!H48</f>
        <v>0</v>
      </c>
      <c r="I48" s="24">
        <f ca="1">'104 (4)'!I48+'104 (8)'!I48</f>
        <v>0</v>
      </c>
      <c r="J48" s="24">
        <f ca="1">'104 (4)'!J48+'104 (8)'!J48</f>
        <v>0</v>
      </c>
      <c r="K48" s="24">
        <f ca="1">'104 (4)'!K48+'104 (8)'!K48</f>
        <v>0</v>
      </c>
      <c r="L48" s="24">
        <f ca="1">'104 (4)'!L48+'104 (8)'!L48</f>
        <v>0</v>
      </c>
      <c r="M48" s="24">
        <f ca="1">'104 (4)'!M48+'104 (8)'!M48</f>
        <v>0</v>
      </c>
      <c r="N48" s="24">
        <f ca="1">'104 (4)'!N48+'104 (8)'!N48</f>
        <v>0</v>
      </c>
      <c r="O48" s="24">
        <f ca="1">'104 (4)'!O48+'104 (8)'!O48</f>
        <v>0</v>
      </c>
    </row>
    <row r="49" spans="1:15">
      <c r="A49" s="27"/>
      <c r="B49" s="24"/>
      <c r="C49" s="33">
        <f>Справочник!J1</f>
        <v>2019</v>
      </c>
      <c r="D49" s="24">
        <f ca="1">'104 (4)'!D49+'104 (8)'!D49</f>
        <v>38</v>
      </c>
      <c r="E49" s="24">
        <f ca="1">'104 (4)'!E49+'104 (8)'!E49</f>
        <v>0</v>
      </c>
      <c r="F49" s="24">
        <f ca="1">'104 (4)'!F49+'104 (8)'!F49</f>
        <v>0</v>
      </c>
      <c r="G49" s="24">
        <f ca="1">'104 (4)'!G49+'104 (8)'!G49</f>
        <v>0</v>
      </c>
      <c r="H49" s="24">
        <f ca="1">'104 (4)'!H49+'104 (8)'!H49</f>
        <v>0</v>
      </c>
      <c r="I49" s="24">
        <f ca="1">'104 (4)'!I49+'104 (8)'!I49</f>
        <v>0</v>
      </c>
      <c r="J49" s="24">
        <f ca="1">'104 (4)'!J49+'104 (8)'!J49</f>
        <v>0</v>
      </c>
      <c r="K49" s="24">
        <f ca="1">'104 (4)'!K49+'104 (8)'!K49</f>
        <v>0</v>
      </c>
      <c r="L49" s="24">
        <f ca="1">'104 (4)'!L49+'104 (8)'!L49</f>
        <v>0</v>
      </c>
      <c r="M49" s="24">
        <f ca="1">'104 (4)'!M49+'104 (8)'!M49</f>
        <v>0</v>
      </c>
      <c r="N49" s="24">
        <f ca="1">'104 (4)'!N49+'104 (8)'!N49</f>
        <v>0</v>
      </c>
      <c r="O49" s="24">
        <f ca="1">'104 (4)'!O49+'104 (8)'!O49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'104 (4)'!D50+'104 (8)'!D50</f>
        <v>90</v>
      </c>
      <c r="E50" s="24">
        <f ca="1">'104 (4)'!E50+'104 (8)'!E50</f>
        <v>0</v>
      </c>
      <c r="F50" s="24">
        <f ca="1">'104 (4)'!F50+'104 (8)'!F50</f>
        <v>0</v>
      </c>
      <c r="G50" s="24">
        <f ca="1">'104 (4)'!G50+'104 (8)'!G50</f>
        <v>0</v>
      </c>
      <c r="H50" s="24">
        <f ca="1">'104 (4)'!H50+'104 (8)'!H50</f>
        <v>0</v>
      </c>
      <c r="I50" s="24">
        <f ca="1">'104 (4)'!I50+'104 (8)'!I50</f>
        <v>0</v>
      </c>
      <c r="J50" s="24">
        <f ca="1">'104 (4)'!J50+'104 (8)'!J50</f>
        <v>0</v>
      </c>
      <c r="K50" s="24">
        <f ca="1">'104 (4)'!K50+'104 (8)'!K50</f>
        <v>0</v>
      </c>
      <c r="L50" s="24">
        <f ca="1">'104 (4)'!L50+'104 (8)'!L50</f>
        <v>0</v>
      </c>
      <c r="M50" s="24">
        <f ca="1">'104 (4)'!M50+'104 (8)'!M50</f>
        <v>0</v>
      </c>
      <c r="N50" s="24">
        <f ca="1">'104 (4)'!N50+'104 (8)'!N50</f>
        <v>0</v>
      </c>
      <c r="O50" s="24">
        <f ca="1">'104 (4)'!O50+'104 (8)'!O50</f>
        <v>0</v>
      </c>
    </row>
    <row r="51" spans="1:15">
      <c r="A51" s="27"/>
      <c r="B51" s="24"/>
      <c r="C51" s="33">
        <f>Справочник!J1</f>
        <v>2019</v>
      </c>
      <c r="D51" s="24">
        <f ca="1">'104 (4)'!D51+'104 (8)'!D51</f>
        <v>110</v>
      </c>
      <c r="E51" s="24">
        <f ca="1">'104 (4)'!E51+'104 (8)'!E51</f>
        <v>0</v>
      </c>
      <c r="F51" s="24">
        <f ca="1">'104 (4)'!F51+'104 (8)'!F51</f>
        <v>0</v>
      </c>
      <c r="G51" s="24">
        <f ca="1">'104 (4)'!G51+'104 (8)'!G51</f>
        <v>0</v>
      </c>
      <c r="H51" s="24">
        <f ca="1">'104 (4)'!H51+'104 (8)'!H51</f>
        <v>0</v>
      </c>
      <c r="I51" s="24">
        <f ca="1">'104 (4)'!I51+'104 (8)'!I51</f>
        <v>0</v>
      </c>
      <c r="J51" s="24">
        <f ca="1">'104 (4)'!J51+'104 (8)'!J51</f>
        <v>0</v>
      </c>
      <c r="K51" s="24">
        <f ca="1">'104 (4)'!K51+'104 (8)'!K51</f>
        <v>0</v>
      </c>
      <c r="L51" s="24">
        <f ca="1">'104 (4)'!L51+'104 (8)'!L51</f>
        <v>0</v>
      </c>
      <c r="M51" s="24">
        <f ca="1">'104 (4)'!M51+'104 (8)'!M51</f>
        <v>0</v>
      </c>
      <c r="N51" s="24">
        <f ca="1">'104 (4)'!N51+'104 (8)'!N51</f>
        <v>0</v>
      </c>
      <c r="O51" s="24">
        <f ca="1">'104 (4)'!O51+'104 (8)'!O51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'104 (4)'!D52+'104 (8)'!D52</f>
        <v>62</v>
      </c>
      <c r="E52" s="24">
        <f ca="1">'104 (4)'!E52+'104 (8)'!E52</f>
        <v>0</v>
      </c>
      <c r="F52" s="24">
        <f ca="1">'104 (4)'!F52+'104 (8)'!F52</f>
        <v>0</v>
      </c>
      <c r="G52" s="24">
        <f ca="1">'104 (4)'!G52+'104 (8)'!G52</f>
        <v>0</v>
      </c>
      <c r="H52" s="24">
        <f ca="1">'104 (4)'!H52+'104 (8)'!H52</f>
        <v>0</v>
      </c>
      <c r="I52" s="24">
        <f ca="1">'104 (4)'!I52+'104 (8)'!I52</f>
        <v>0</v>
      </c>
      <c r="J52" s="24">
        <f ca="1">'104 (4)'!J52+'104 (8)'!J52</f>
        <v>0</v>
      </c>
      <c r="K52" s="24">
        <f ca="1">'104 (4)'!K52+'104 (8)'!K52</f>
        <v>0</v>
      </c>
      <c r="L52" s="24">
        <f ca="1">'104 (4)'!L52+'104 (8)'!L52</f>
        <v>0</v>
      </c>
      <c r="M52" s="24">
        <f ca="1">'104 (4)'!M52+'104 (8)'!M52</f>
        <v>0</v>
      </c>
      <c r="N52" s="24">
        <f ca="1">'104 (4)'!N52+'104 (8)'!N52</f>
        <v>0</v>
      </c>
      <c r="O52" s="24">
        <f ca="1">'104 (4)'!O52+'104 (8)'!O52</f>
        <v>0</v>
      </c>
    </row>
    <row r="53" spans="1:15">
      <c r="A53" s="27"/>
      <c r="B53" s="24"/>
      <c r="C53" s="33">
        <f>Справочник!J1</f>
        <v>2019</v>
      </c>
      <c r="D53" s="24">
        <f ca="1">'104 (4)'!D53+'104 (8)'!D53</f>
        <v>69</v>
      </c>
      <c r="E53" s="24">
        <f ca="1">'104 (4)'!E53+'104 (8)'!E53</f>
        <v>0</v>
      </c>
      <c r="F53" s="24">
        <f ca="1">'104 (4)'!F53+'104 (8)'!F53</f>
        <v>0</v>
      </c>
      <c r="G53" s="24">
        <f ca="1">'104 (4)'!G53+'104 (8)'!G53</f>
        <v>0</v>
      </c>
      <c r="H53" s="24">
        <f ca="1">'104 (4)'!H53+'104 (8)'!H53</f>
        <v>0</v>
      </c>
      <c r="I53" s="24">
        <f ca="1">'104 (4)'!I53+'104 (8)'!I53</f>
        <v>0</v>
      </c>
      <c r="J53" s="24">
        <f ca="1">'104 (4)'!J53+'104 (8)'!J53</f>
        <v>0</v>
      </c>
      <c r="K53" s="24">
        <f ca="1">'104 (4)'!K53+'104 (8)'!K53</f>
        <v>0</v>
      </c>
      <c r="L53" s="24">
        <f ca="1">'104 (4)'!L53+'104 (8)'!L53</f>
        <v>0</v>
      </c>
      <c r="M53" s="24">
        <f ca="1">'104 (4)'!M53+'104 (8)'!M53</f>
        <v>0</v>
      </c>
      <c r="N53" s="24">
        <f ca="1">'104 (4)'!N53+'104 (8)'!N53</f>
        <v>0</v>
      </c>
      <c r="O53" s="24">
        <f ca="1">'104 (4)'!O53+'104 (8)'!O53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'104 (4)'!D54+'104 (8)'!D54</f>
        <v>0</v>
      </c>
      <c r="E54" s="24">
        <f ca="1">'104 (4)'!E54+'104 (8)'!E54</f>
        <v>0</v>
      </c>
      <c r="F54" s="24">
        <f ca="1">'104 (4)'!F54+'104 (8)'!F54</f>
        <v>0</v>
      </c>
      <c r="G54" s="24">
        <f ca="1">'104 (4)'!G54+'104 (8)'!G54</f>
        <v>0</v>
      </c>
      <c r="H54" s="24">
        <f ca="1">'104 (4)'!H54+'104 (8)'!H54</f>
        <v>0</v>
      </c>
      <c r="I54" s="24">
        <f ca="1">'104 (4)'!I54+'104 (8)'!I54</f>
        <v>0</v>
      </c>
      <c r="J54" s="24">
        <f ca="1">'104 (4)'!J54+'104 (8)'!J54</f>
        <v>0</v>
      </c>
      <c r="K54" s="24">
        <f ca="1">'104 (4)'!K54+'104 (8)'!K54</f>
        <v>0</v>
      </c>
      <c r="L54" s="24">
        <f ca="1">'104 (4)'!L54+'104 (8)'!L54</f>
        <v>0</v>
      </c>
      <c r="M54" s="24">
        <f ca="1">'104 (4)'!M54+'104 (8)'!M54</f>
        <v>0</v>
      </c>
      <c r="N54" s="24">
        <f ca="1">'104 (4)'!N54+'104 (8)'!N54</f>
        <v>0</v>
      </c>
      <c r="O54" s="24">
        <f ca="1">'104 (4)'!O54+'104 (8)'!O54</f>
        <v>0</v>
      </c>
    </row>
    <row r="55" spans="1:15">
      <c r="A55" s="27"/>
      <c r="B55" s="24"/>
      <c r="C55" s="33">
        <f>Справочник!J1</f>
        <v>2019</v>
      </c>
      <c r="D55" s="24">
        <f ca="1">'104 (4)'!D55+'104 (8)'!D55</f>
        <v>0</v>
      </c>
      <c r="E55" s="24">
        <f ca="1">'104 (4)'!E55+'104 (8)'!E55</f>
        <v>0</v>
      </c>
      <c r="F55" s="24">
        <f ca="1">'104 (4)'!F55+'104 (8)'!F55</f>
        <v>0</v>
      </c>
      <c r="G55" s="24">
        <f ca="1">'104 (4)'!G55+'104 (8)'!G55</f>
        <v>0</v>
      </c>
      <c r="H55" s="24">
        <f ca="1">'104 (4)'!H55+'104 (8)'!H55</f>
        <v>0</v>
      </c>
      <c r="I55" s="24">
        <f ca="1">'104 (4)'!I55+'104 (8)'!I55</f>
        <v>0</v>
      </c>
      <c r="J55" s="24">
        <f ca="1">'104 (4)'!J55+'104 (8)'!J55</f>
        <v>0</v>
      </c>
      <c r="K55" s="24">
        <f ca="1">'104 (4)'!K55+'104 (8)'!K55</f>
        <v>0</v>
      </c>
      <c r="L55" s="24">
        <f ca="1">'104 (4)'!L55+'104 (8)'!L55</f>
        <v>0</v>
      </c>
      <c r="M55" s="24">
        <f ca="1">'104 (4)'!M55+'104 (8)'!M55</f>
        <v>0</v>
      </c>
      <c r="N55" s="24">
        <f ca="1">'104 (4)'!N55+'104 (8)'!N55</f>
        <v>0</v>
      </c>
      <c r="O55" s="24">
        <f ca="1">'104 (4)'!O55+'104 (8)'!O55</f>
        <v>0</v>
      </c>
    </row>
    <row r="56" spans="1:15">
      <c r="A56" s="25" t="s">
        <v>365</v>
      </c>
      <c r="C56" s="23">
        <f>Справочник!J2</f>
        <v>2018</v>
      </c>
      <c r="D56" s="24">
        <f ca="1">'104 (4)'!D56+'104 (8)'!D56</f>
        <v>21</v>
      </c>
      <c r="E56" s="24">
        <f ca="1">'104 (4)'!E56+'104 (8)'!E56</f>
        <v>0</v>
      </c>
      <c r="F56" s="24">
        <f ca="1">'104 (4)'!F56+'104 (8)'!F56</f>
        <v>0</v>
      </c>
      <c r="G56" s="24">
        <f ca="1">'104 (4)'!G56+'104 (8)'!G56</f>
        <v>0</v>
      </c>
      <c r="H56" s="24">
        <f ca="1">'104 (4)'!H56+'104 (8)'!H56</f>
        <v>0</v>
      </c>
      <c r="I56" s="24">
        <f ca="1">'104 (4)'!I56+'104 (8)'!I56</f>
        <v>0</v>
      </c>
      <c r="J56" s="24">
        <f ca="1">'104 (4)'!J56+'104 (8)'!J56</f>
        <v>0</v>
      </c>
      <c r="K56" s="24">
        <f ca="1">'104 (4)'!K56+'104 (8)'!K56</f>
        <v>0</v>
      </c>
      <c r="L56" s="24">
        <f ca="1">'104 (4)'!L56+'104 (8)'!L56</f>
        <v>0</v>
      </c>
      <c r="M56" s="24">
        <f ca="1">'104 (4)'!M56+'104 (8)'!M56</f>
        <v>0</v>
      </c>
      <c r="N56" s="24">
        <f ca="1">'104 (4)'!N56+'104 (8)'!N56</f>
        <v>0</v>
      </c>
      <c r="O56" s="24">
        <f ca="1">'104 (4)'!O56+'104 (8)'!O56</f>
        <v>0</v>
      </c>
    </row>
    <row r="57" spans="1:15">
      <c r="A57" s="27"/>
      <c r="B57" s="24" t="s">
        <v>119</v>
      </c>
      <c r="C57" s="33">
        <f>Справочник!J1</f>
        <v>2019</v>
      </c>
      <c r="D57" s="24">
        <f ca="1">'104 (4)'!D57+'104 (8)'!D57</f>
        <v>11</v>
      </c>
      <c r="E57" s="24">
        <f ca="1">'104 (4)'!E57+'104 (8)'!E57</f>
        <v>0</v>
      </c>
      <c r="F57" s="24">
        <f ca="1">'104 (4)'!F57+'104 (8)'!F57</f>
        <v>0</v>
      </c>
      <c r="G57" s="24">
        <f ca="1">'104 (4)'!G57+'104 (8)'!G57</f>
        <v>0</v>
      </c>
      <c r="H57" s="24">
        <f ca="1">'104 (4)'!H57+'104 (8)'!H57</f>
        <v>0</v>
      </c>
      <c r="I57" s="24">
        <f ca="1">'104 (4)'!I57+'104 (8)'!I57</f>
        <v>0</v>
      </c>
      <c r="J57" s="24">
        <f ca="1">'104 (4)'!J57+'104 (8)'!J57</f>
        <v>0</v>
      </c>
      <c r="K57" s="24">
        <f ca="1">'104 (4)'!K57+'104 (8)'!K57</f>
        <v>0</v>
      </c>
      <c r="L57" s="24">
        <f ca="1">'104 (4)'!L57+'104 (8)'!L57</f>
        <v>0</v>
      </c>
      <c r="M57" s="24">
        <f ca="1">'104 (4)'!M57+'104 (8)'!M57</f>
        <v>0</v>
      </c>
      <c r="N57" s="24">
        <f ca="1">'104 (4)'!N57+'104 (8)'!N57</f>
        <v>0</v>
      </c>
      <c r="O57" s="24">
        <f ca="1">'104 (4)'!O57+'104 (8)'!O57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4">
        <f ca="1">'104 (4)'!D58+'104 (8)'!D58</f>
        <v>0</v>
      </c>
      <c r="E58" s="24">
        <f ca="1">'104 (4)'!E58+'104 (8)'!E58</f>
        <v>0</v>
      </c>
      <c r="F58" s="24">
        <f ca="1">'104 (4)'!F58+'104 (8)'!F58</f>
        <v>0</v>
      </c>
      <c r="G58" s="24">
        <f ca="1">'104 (4)'!G58+'104 (8)'!G58</f>
        <v>0</v>
      </c>
      <c r="H58" s="24">
        <f ca="1">'104 (4)'!H58+'104 (8)'!H58</f>
        <v>0</v>
      </c>
      <c r="I58" s="24">
        <f ca="1">'104 (4)'!I58+'104 (8)'!I58</f>
        <v>0</v>
      </c>
      <c r="J58" s="24">
        <f ca="1">'104 (4)'!J58+'104 (8)'!J58</f>
        <v>0</v>
      </c>
      <c r="K58" s="24">
        <f ca="1">'104 (4)'!K58+'104 (8)'!K58</f>
        <v>0</v>
      </c>
      <c r="L58" s="24">
        <f ca="1">'104 (4)'!L58+'104 (8)'!L58</f>
        <v>0</v>
      </c>
      <c r="M58" s="24">
        <f ca="1">'104 (4)'!M58+'104 (8)'!M58</f>
        <v>0</v>
      </c>
      <c r="N58" s="24">
        <f ca="1">'104 (4)'!N58+'104 (8)'!N58</f>
        <v>0</v>
      </c>
      <c r="O58" s="24">
        <f ca="1">'104 (4)'!O58+'104 (8)'!O58</f>
        <v>0</v>
      </c>
    </row>
    <row r="59" spans="1:15">
      <c r="A59" s="27"/>
      <c r="C59" s="33">
        <f>Справочник!J1</f>
        <v>2019</v>
      </c>
      <c r="D59" s="24">
        <f ca="1">'104 (4)'!D59+'104 (8)'!D59</f>
        <v>1</v>
      </c>
      <c r="E59" s="24">
        <f ca="1">'104 (4)'!E59+'104 (8)'!E59</f>
        <v>0</v>
      </c>
      <c r="F59" s="24">
        <f ca="1">'104 (4)'!F59+'104 (8)'!F59</f>
        <v>0</v>
      </c>
      <c r="G59" s="24">
        <f ca="1">'104 (4)'!G59+'104 (8)'!G59</f>
        <v>0</v>
      </c>
      <c r="H59" s="24">
        <f ca="1">'104 (4)'!H59+'104 (8)'!H59</f>
        <v>0</v>
      </c>
      <c r="I59" s="24">
        <f ca="1">'104 (4)'!I59+'104 (8)'!I59</f>
        <v>0</v>
      </c>
      <c r="J59" s="24">
        <f ca="1">'104 (4)'!J59+'104 (8)'!J59</f>
        <v>0</v>
      </c>
      <c r="K59" s="24">
        <f ca="1">'104 (4)'!K59+'104 (8)'!K59</f>
        <v>0</v>
      </c>
      <c r="L59" s="24">
        <f ca="1">'104 (4)'!L59+'104 (8)'!L59</f>
        <v>0</v>
      </c>
      <c r="M59" s="24">
        <f ca="1">'104 (4)'!M59+'104 (8)'!M59</f>
        <v>0</v>
      </c>
      <c r="N59" s="24">
        <f ca="1">'104 (4)'!N59+'104 (8)'!N59</f>
        <v>0</v>
      </c>
      <c r="O59" s="24">
        <f ca="1">'104 (4)'!O59+'104 (8)'!O59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150">
        <f ca="1">'104 (4)'!D61+'104 (8)'!D61</f>
        <v>72</v>
      </c>
      <c r="E61" s="150">
        <f ca="1">'104 (4)'!E61+'104 (8)'!E61</f>
        <v>0</v>
      </c>
      <c r="F61" s="150">
        <f ca="1">'104 (4)'!F61+'104 (8)'!F61</f>
        <v>0</v>
      </c>
      <c r="G61" s="150">
        <f ca="1">'104 (4)'!G61+'104 (8)'!G61</f>
        <v>0</v>
      </c>
      <c r="H61" s="150">
        <f ca="1">'104 (4)'!H61+'104 (8)'!H61</f>
        <v>0</v>
      </c>
      <c r="I61" s="150">
        <f ca="1">'104 (4)'!I61+'104 (8)'!I61</f>
        <v>0</v>
      </c>
      <c r="J61" s="150">
        <f ca="1">'104 (4)'!J61+'104 (8)'!J61</f>
        <v>0</v>
      </c>
      <c r="K61" s="150">
        <f ca="1">'104 (4)'!K61+'104 (8)'!K61</f>
        <v>0</v>
      </c>
      <c r="L61" s="150">
        <f ca="1">'104 (4)'!L61+'104 (8)'!L61</f>
        <v>0</v>
      </c>
      <c r="M61" s="150">
        <f ca="1">'104 (4)'!M61+'104 (8)'!M61</f>
        <v>0</v>
      </c>
      <c r="N61" s="150">
        <f ca="1">'104 (4)'!N61+'104 (8)'!N61</f>
        <v>0</v>
      </c>
      <c r="O61" s="150">
        <f ca="1">'104 (4)'!O61+'104 (8)'!O61</f>
        <v>0</v>
      </c>
    </row>
    <row r="62" spans="1:15">
      <c r="A62" s="91" t="s">
        <v>372</v>
      </c>
      <c r="B62" s="92"/>
      <c r="C62" s="92"/>
      <c r="D62" s="150">
        <f ca="1">'104 (4)'!D62+'104 (8)'!D62</f>
        <v>157</v>
      </c>
      <c r="E62" s="150">
        <f ca="1">'104 (4)'!E62+'104 (8)'!E62</f>
        <v>0</v>
      </c>
      <c r="F62" s="150">
        <f ca="1">'104 (4)'!F62+'104 (8)'!F62</f>
        <v>0</v>
      </c>
      <c r="G62" s="150">
        <f ca="1">'104 (4)'!G62+'104 (8)'!G62</f>
        <v>0</v>
      </c>
      <c r="H62" s="150">
        <f ca="1">'104 (4)'!H62+'104 (8)'!H62</f>
        <v>0</v>
      </c>
      <c r="I62" s="150">
        <f ca="1">'104 (4)'!I62+'104 (8)'!I62</f>
        <v>0</v>
      </c>
      <c r="J62" s="150">
        <f ca="1">'104 (4)'!J62+'104 (8)'!J62</f>
        <v>0</v>
      </c>
      <c r="K62" s="150">
        <f ca="1">'104 (4)'!K62+'104 (8)'!K62</f>
        <v>0</v>
      </c>
      <c r="L62" s="150">
        <f ca="1">'104 (4)'!L62+'104 (8)'!L62</f>
        <v>0</v>
      </c>
      <c r="M62" s="150">
        <f ca="1">'104 (4)'!M62+'104 (8)'!M62</f>
        <v>0</v>
      </c>
      <c r="N62" s="150">
        <f ca="1">'104 (4)'!N62+'104 (8)'!N62</f>
        <v>0</v>
      </c>
      <c r="O62" s="150">
        <f ca="1">'104 (4)'!O62+'104 (8)'!O62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0.31441048034934499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150">
        <f ca="1">'104 (4)'!D64+'104 (8)'!D64</f>
        <v>69</v>
      </c>
      <c r="E64" s="150">
        <f ca="1">'104 (4)'!E64+'104 (8)'!E64</f>
        <v>0</v>
      </c>
      <c r="F64" s="150">
        <f ca="1">'104 (4)'!F64+'104 (8)'!F64</f>
        <v>0</v>
      </c>
      <c r="G64" s="150">
        <f ca="1">'104 (4)'!G64+'104 (8)'!G64</f>
        <v>0</v>
      </c>
      <c r="H64" s="150">
        <f ca="1">'104 (4)'!H64+'104 (8)'!H64</f>
        <v>0</v>
      </c>
      <c r="I64" s="150">
        <f ca="1">'104 (4)'!I64+'104 (8)'!I64</f>
        <v>0</v>
      </c>
      <c r="J64" s="150">
        <f ca="1">'104 (4)'!J64+'104 (8)'!J64</f>
        <v>0</v>
      </c>
      <c r="K64" s="150">
        <f ca="1">'104 (4)'!K64+'104 (8)'!K64</f>
        <v>0</v>
      </c>
      <c r="L64" s="150">
        <f ca="1">'104 (4)'!L64+'104 (8)'!L64</f>
        <v>0</v>
      </c>
      <c r="M64" s="150">
        <f ca="1">'104 (4)'!M64+'104 (8)'!M64</f>
        <v>0</v>
      </c>
      <c r="N64" s="150">
        <f ca="1">'104 (4)'!N64+'104 (8)'!N64</f>
        <v>0</v>
      </c>
      <c r="O64" s="150">
        <f ca="1">'104 (4)'!O64+'104 (8)'!O64</f>
        <v>0</v>
      </c>
    </row>
    <row r="65" spans="1:15">
      <c r="A65" s="100" t="s">
        <v>372</v>
      </c>
      <c r="B65" s="97"/>
      <c r="C65" s="97"/>
      <c r="D65" s="150">
        <f ca="1">'104 (4)'!D65+'104 (8)'!D65</f>
        <v>143</v>
      </c>
      <c r="E65" s="150">
        <f ca="1">'104 (4)'!E65+'104 (8)'!E65</f>
        <v>0</v>
      </c>
      <c r="F65" s="150">
        <f ca="1">'104 (4)'!F65+'104 (8)'!F65</f>
        <v>0</v>
      </c>
      <c r="G65" s="150">
        <f ca="1">'104 (4)'!G65+'104 (8)'!G65</f>
        <v>0</v>
      </c>
      <c r="H65" s="150">
        <f ca="1">'104 (4)'!H65+'104 (8)'!H65</f>
        <v>0</v>
      </c>
      <c r="I65" s="150">
        <f ca="1">'104 (4)'!I65+'104 (8)'!I65</f>
        <v>0</v>
      </c>
      <c r="J65" s="150">
        <f ca="1">'104 (4)'!J65+'104 (8)'!J65</f>
        <v>0</v>
      </c>
      <c r="K65" s="150">
        <f ca="1">'104 (4)'!K65+'104 (8)'!K65</f>
        <v>0</v>
      </c>
      <c r="L65" s="150">
        <f ca="1">'104 (4)'!L65+'104 (8)'!L65</f>
        <v>0</v>
      </c>
      <c r="M65" s="150">
        <f ca="1">'104 (4)'!M65+'104 (8)'!M65</f>
        <v>0</v>
      </c>
      <c r="N65" s="150">
        <f ca="1">'104 (4)'!N65+'104 (8)'!N65</f>
        <v>0</v>
      </c>
      <c r="O65" s="150">
        <f ca="1">'104 (4)'!O65+'104 (8)'!O65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0.32547169811320753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150">
        <f ca="1">'104 (4)'!D67+'104 (8)'!D67</f>
        <v>21</v>
      </c>
      <c r="E67" s="150">
        <f ca="1">'104 (4)'!E67+'104 (8)'!E67</f>
        <v>0</v>
      </c>
      <c r="F67" s="150">
        <f ca="1">'104 (4)'!F67+'104 (8)'!F67</f>
        <v>0</v>
      </c>
      <c r="G67" s="150">
        <f ca="1">'104 (4)'!G67+'104 (8)'!G67</f>
        <v>0</v>
      </c>
      <c r="H67" s="150">
        <f ca="1">'104 (4)'!H67+'104 (8)'!H67</f>
        <v>0</v>
      </c>
      <c r="I67" s="150">
        <f ca="1">'104 (4)'!I67+'104 (8)'!I67</f>
        <v>0</v>
      </c>
      <c r="J67" s="150">
        <f ca="1">'104 (4)'!J67+'104 (8)'!J67</f>
        <v>0</v>
      </c>
      <c r="K67" s="150">
        <f ca="1">'104 (4)'!K67+'104 (8)'!K67</f>
        <v>0</v>
      </c>
      <c r="L67" s="150">
        <f ca="1">'104 (4)'!L67+'104 (8)'!L67</f>
        <v>0</v>
      </c>
      <c r="M67" s="150">
        <f ca="1">'104 (4)'!M67+'104 (8)'!M67</f>
        <v>0</v>
      </c>
      <c r="N67" s="150">
        <f ca="1">'104 (4)'!N67+'104 (8)'!N67</f>
        <v>0</v>
      </c>
      <c r="O67" s="150">
        <f ca="1">'104 (4)'!O67+'104 (8)'!O67</f>
        <v>0</v>
      </c>
    </row>
    <row r="68" spans="1:15">
      <c r="A68" s="91" t="s">
        <v>372</v>
      </c>
      <c r="B68" s="92"/>
      <c r="C68" s="92"/>
      <c r="D68" s="150">
        <f ca="1">'104 (4)'!D68+'104 (8)'!D68</f>
        <v>36</v>
      </c>
      <c r="E68" s="150">
        <f ca="1">'104 (4)'!E68+'104 (8)'!E68</f>
        <v>0</v>
      </c>
      <c r="F68" s="150">
        <f ca="1">'104 (4)'!F68+'104 (8)'!F68</f>
        <v>0</v>
      </c>
      <c r="G68" s="150">
        <f ca="1">'104 (4)'!G68+'104 (8)'!G68</f>
        <v>0</v>
      </c>
      <c r="H68" s="150">
        <f ca="1">'104 (4)'!H68+'104 (8)'!H68</f>
        <v>0</v>
      </c>
      <c r="I68" s="150">
        <f ca="1">'104 (4)'!I68+'104 (8)'!I68</f>
        <v>0</v>
      </c>
      <c r="J68" s="150">
        <f ca="1">'104 (4)'!J68+'104 (8)'!J68</f>
        <v>0</v>
      </c>
      <c r="K68" s="150">
        <f ca="1">'104 (4)'!K68+'104 (8)'!K68</f>
        <v>0</v>
      </c>
      <c r="L68" s="150">
        <f ca="1">'104 (4)'!L68+'104 (8)'!L68</f>
        <v>0</v>
      </c>
      <c r="M68" s="150">
        <f ca="1">'104 (4)'!M68+'104 (8)'!M68</f>
        <v>0</v>
      </c>
      <c r="N68" s="150">
        <f ca="1">'104 (4)'!N68+'104 (8)'!N68</f>
        <v>0</v>
      </c>
      <c r="O68" s="150">
        <f ca="1">'104 (4)'!O68+'104 (8)'!O68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0.36842105263157893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150">
        <f ca="1">'104 (4)'!D70+'104 (8)'!D70</f>
        <v>11</v>
      </c>
      <c r="E70" s="150">
        <f ca="1">'104 (4)'!E70+'104 (8)'!E70</f>
        <v>0</v>
      </c>
      <c r="F70" s="150">
        <f ca="1">'104 (4)'!F70+'104 (8)'!F70</f>
        <v>0</v>
      </c>
      <c r="G70" s="150">
        <f ca="1">'104 (4)'!G70+'104 (8)'!G70</f>
        <v>0</v>
      </c>
      <c r="H70" s="150">
        <f ca="1">'104 (4)'!H70+'104 (8)'!H70</f>
        <v>0</v>
      </c>
      <c r="I70" s="150">
        <f ca="1">'104 (4)'!I70+'104 (8)'!I70</f>
        <v>0</v>
      </c>
      <c r="J70" s="150">
        <f ca="1">'104 (4)'!J70+'104 (8)'!J70</f>
        <v>0</v>
      </c>
      <c r="K70" s="150">
        <f ca="1">'104 (4)'!K70+'104 (8)'!K70</f>
        <v>0</v>
      </c>
      <c r="L70" s="150">
        <f ca="1">'104 (4)'!L70+'104 (8)'!L70</f>
        <v>0</v>
      </c>
      <c r="M70" s="150">
        <f ca="1">'104 (4)'!M70+'104 (8)'!M70</f>
        <v>0</v>
      </c>
      <c r="N70" s="150">
        <f ca="1">'104 (4)'!N70+'104 (8)'!N70</f>
        <v>0</v>
      </c>
      <c r="O70" s="150">
        <f ca="1">'104 (4)'!O70+'104 (8)'!O70</f>
        <v>0</v>
      </c>
    </row>
    <row r="71" spans="1:15">
      <c r="A71" s="100" t="s">
        <v>372</v>
      </c>
      <c r="B71" s="97"/>
      <c r="C71" s="97"/>
      <c r="D71" s="150">
        <f ca="1">'104 (4)'!D71+'104 (8)'!D71</f>
        <v>30</v>
      </c>
      <c r="E71" s="150">
        <f ca="1">'104 (4)'!E71+'104 (8)'!E71</f>
        <v>0</v>
      </c>
      <c r="F71" s="150">
        <f ca="1">'104 (4)'!F71+'104 (8)'!F71</f>
        <v>0</v>
      </c>
      <c r="G71" s="150">
        <f ca="1">'104 (4)'!G71+'104 (8)'!G71</f>
        <v>0</v>
      </c>
      <c r="H71" s="150">
        <f ca="1">'104 (4)'!H71+'104 (8)'!H71</f>
        <v>0</v>
      </c>
      <c r="I71" s="150">
        <f ca="1">'104 (4)'!I71+'104 (8)'!I71</f>
        <v>0</v>
      </c>
      <c r="J71" s="150">
        <f ca="1">'104 (4)'!J71+'104 (8)'!J71</f>
        <v>0</v>
      </c>
      <c r="K71" s="150">
        <f ca="1">'104 (4)'!K71+'104 (8)'!K71</f>
        <v>0</v>
      </c>
      <c r="L71" s="150">
        <f ca="1">'104 (4)'!L71+'104 (8)'!L71</f>
        <v>0</v>
      </c>
      <c r="M71" s="150">
        <f ca="1">'104 (4)'!M71+'104 (8)'!M71</f>
        <v>0</v>
      </c>
      <c r="N71" s="150">
        <f ca="1">'104 (4)'!N71+'104 (8)'!N71</f>
        <v>0</v>
      </c>
      <c r="O71" s="150">
        <f ca="1">'104 (4)'!O71+'104 (8)'!O71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0.26829268292682928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150">
        <f ca="1">'104 (4)'!D73+'104 (8)'!D73</f>
        <v>2</v>
      </c>
      <c r="E73" s="150">
        <f ca="1">'104 (4)'!E73+'104 (8)'!E73</f>
        <v>0</v>
      </c>
      <c r="F73" s="150">
        <f ca="1">'104 (4)'!F73+'104 (8)'!F73</f>
        <v>0</v>
      </c>
      <c r="G73" s="150">
        <f ca="1">'104 (4)'!G73+'104 (8)'!G73</f>
        <v>0</v>
      </c>
      <c r="H73" s="150">
        <f ca="1">'104 (4)'!H73+'104 (8)'!H73</f>
        <v>0</v>
      </c>
      <c r="I73" s="150">
        <f ca="1">'104 (4)'!I73+'104 (8)'!I73</f>
        <v>0</v>
      </c>
      <c r="J73" s="150">
        <f ca="1">'104 (4)'!J73+'104 (8)'!J73</f>
        <v>0</v>
      </c>
      <c r="K73" s="150">
        <f ca="1">'104 (4)'!K73+'104 (8)'!K73</f>
        <v>0</v>
      </c>
      <c r="L73" s="150">
        <f ca="1">'104 (4)'!L73+'104 (8)'!L73</f>
        <v>0</v>
      </c>
      <c r="M73" s="150">
        <f ca="1">'104 (4)'!M73+'104 (8)'!M73</f>
        <v>0</v>
      </c>
      <c r="N73" s="150">
        <f ca="1">'104 (4)'!N73+'104 (8)'!N73</f>
        <v>0</v>
      </c>
      <c r="O73" s="150">
        <f ca="1">'104 (4)'!O73+'104 (8)'!O73</f>
        <v>0</v>
      </c>
    </row>
    <row r="74" spans="1:15">
      <c r="A74" s="91" t="s">
        <v>372</v>
      </c>
      <c r="B74" s="92"/>
      <c r="C74" s="92"/>
      <c r="D74" s="150">
        <f ca="1">'104 (4)'!D74+'104 (8)'!D74</f>
        <v>0</v>
      </c>
      <c r="E74" s="150">
        <f ca="1">'104 (4)'!E74+'104 (8)'!E74</f>
        <v>0</v>
      </c>
      <c r="F74" s="150">
        <f ca="1">'104 (4)'!F74+'104 (8)'!F74</f>
        <v>0</v>
      </c>
      <c r="G74" s="150">
        <f ca="1">'104 (4)'!G74+'104 (8)'!G74</f>
        <v>0</v>
      </c>
      <c r="H74" s="150">
        <f ca="1">'104 (4)'!H74+'104 (8)'!H74</f>
        <v>0</v>
      </c>
      <c r="I74" s="150">
        <f ca="1">'104 (4)'!I74+'104 (8)'!I74</f>
        <v>0</v>
      </c>
      <c r="J74" s="150">
        <f ca="1">'104 (4)'!J74+'104 (8)'!J74</f>
        <v>0</v>
      </c>
      <c r="K74" s="150">
        <f ca="1">'104 (4)'!K74+'104 (8)'!K74</f>
        <v>0</v>
      </c>
      <c r="L74" s="150">
        <f ca="1">'104 (4)'!L74+'104 (8)'!L74</f>
        <v>0</v>
      </c>
      <c r="M74" s="150">
        <f ca="1">'104 (4)'!M74+'104 (8)'!M74</f>
        <v>0</v>
      </c>
      <c r="N74" s="150">
        <f ca="1">'104 (4)'!N74+'104 (8)'!N74</f>
        <v>0</v>
      </c>
      <c r="O74" s="150">
        <f ca="1">'104 (4)'!O74+'104 (8)'!O74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150">
        <f ca="1">'104 (4)'!D76+'104 (8)'!D76</f>
        <v>1</v>
      </c>
      <c r="E76" s="150">
        <f ca="1">'104 (4)'!E76+'104 (8)'!E76</f>
        <v>0</v>
      </c>
      <c r="F76" s="150">
        <f ca="1">'104 (4)'!F76+'104 (8)'!F76</f>
        <v>0</v>
      </c>
      <c r="G76" s="150">
        <f ca="1">'104 (4)'!G76+'104 (8)'!G76</f>
        <v>0</v>
      </c>
      <c r="H76" s="150">
        <f ca="1">'104 (4)'!H76+'104 (8)'!H76</f>
        <v>0</v>
      </c>
      <c r="I76" s="150">
        <f ca="1">'104 (4)'!I76+'104 (8)'!I76</f>
        <v>0</v>
      </c>
      <c r="J76" s="150">
        <f ca="1">'104 (4)'!J76+'104 (8)'!J76</f>
        <v>0</v>
      </c>
      <c r="K76" s="150">
        <f ca="1">'104 (4)'!K76+'104 (8)'!K76</f>
        <v>0</v>
      </c>
      <c r="L76" s="150">
        <f ca="1">'104 (4)'!L76+'104 (8)'!L76</f>
        <v>0</v>
      </c>
      <c r="M76" s="150">
        <f ca="1">'104 (4)'!M76+'104 (8)'!M76</f>
        <v>0</v>
      </c>
      <c r="N76" s="150">
        <f ca="1">'104 (4)'!N76+'104 (8)'!N76</f>
        <v>0</v>
      </c>
      <c r="O76" s="150">
        <f ca="1">'104 (4)'!O76+'104 (8)'!O76</f>
        <v>0</v>
      </c>
    </row>
    <row r="77" spans="1:15">
      <c r="A77" s="100" t="s">
        <v>372</v>
      </c>
      <c r="B77" s="97"/>
      <c r="C77" s="97"/>
      <c r="D77" s="150">
        <f ca="1">'104 (4)'!D77+'104 (8)'!D77</f>
        <v>0</v>
      </c>
      <c r="E77" s="150">
        <f ca="1">'104 (4)'!E77+'104 (8)'!E77</f>
        <v>0</v>
      </c>
      <c r="F77" s="150">
        <f ca="1">'104 (4)'!F77+'104 (8)'!F77</f>
        <v>0</v>
      </c>
      <c r="G77" s="150">
        <f ca="1">'104 (4)'!G77+'104 (8)'!G77</f>
        <v>0</v>
      </c>
      <c r="H77" s="150">
        <f ca="1">'104 (4)'!H77+'104 (8)'!H77</f>
        <v>0</v>
      </c>
      <c r="I77" s="150">
        <f ca="1">'104 (4)'!I77+'104 (8)'!I77</f>
        <v>0</v>
      </c>
      <c r="J77" s="150">
        <f ca="1">'104 (4)'!J77+'104 (8)'!J77</f>
        <v>0</v>
      </c>
      <c r="K77" s="150">
        <f ca="1">'104 (4)'!K77+'104 (8)'!K77</f>
        <v>0</v>
      </c>
      <c r="L77" s="150">
        <f ca="1">'104 (4)'!L77+'104 (8)'!L77</f>
        <v>0</v>
      </c>
      <c r="M77" s="150">
        <f ca="1">'104 (4)'!M77+'104 (8)'!M77</f>
        <v>0</v>
      </c>
      <c r="N77" s="150">
        <f ca="1">'104 (4)'!N77+'104 (8)'!N77</f>
        <v>0</v>
      </c>
      <c r="O77" s="150">
        <f ca="1">'104 (4)'!O77+'104 (8)'!O77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150">
        <f ca="1">'104 (4)'!D79+'104 (8)'!D79</f>
        <v>2</v>
      </c>
      <c r="E79" s="150">
        <f ca="1">'104 (4)'!E79+'104 (8)'!E79</f>
        <v>0</v>
      </c>
      <c r="F79" s="150">
        <f ca="1">'104 (4)'!F79+'104 (8)'!F79</f>
        <v>0</v>
      </c>
      <c r="G79" s="150">
        <f ca="1">'104 (4)'!G79+'104 (8)'!G79</f>
        <v>0</v>
      </c>
      <c r="H79" s="150">
        <f ca="1">'104 (4)'!H79+'104 (8)'!H79</f>
        <v>0</v>
      </c>
      <c r="I79" s="150">
        <f ca="1">'104 (4)'!I79+'104 (8)'!I79</f>
        <v>0</v>
      </c>
      <c r="J79" s="150">
        <f ca="1">'104 (4)'!J79+'104 (8)'!J79</f>
        <v>0</v>
      </c>
      <c r="K79" s="150">
        <f ca="1">'104 (4)'!K79+'104 (8)'!K79</f>
        <v>0</v>
      </c>
      <c r="L79" s="150">
        <f ca="1">'104 (4)'!L79+'104 (8)'!L79</f>
        <v>0</v>
      </c>
      <c r="M79" s="150">
        <f ca="1">'104 (4)'!M79+'104 (8)'!M79</f>
        <v>0</v>
      </c>
      <c r="N79" s="150">
        <f ca="1">'104 (4)'!N79+'104 (8)'!N79</f>
        <v>0</v>
      </c>
      <c r="O79" s="150">
        <f ca="1">'104 (4)'!O79+'104 (8)'!O79</f>
        <v>0</v>
      </c>
    </row>
    <row r="80" spans="1:15">
      <c r="A80" s="91" t="s">
        <v>372</v>
      </c>
      <c r="B80" s="92"/>
      <c r="C80" s="92"/>
      <c r="D80" s="150">
        <f ca="1">'104 (4)'!D80+'104 (8)'!D80</f>
        <v>2</v>
      </c>
      <c r="E80" s="150">
        <f ca="1">'104 (4)'!E80+'104 (8)'!E80</f>
        <v>0</v>
      </c>
      <c r="F80" s="150">
        <f ca="1">'104 (4)'!F80+'104 (8)'!F80</f>
        <v>0</v>
      </c>
      <c r="G80" s="150">
        <f ca="1">'104 (4)'!G80+'104 (8)'!G80</f>
        <v>0</v>
      </c>
      <c r="H80" s="150">
        <f ca="1">'104 (4)'!H80+'104 (8)'!H80</f>
        <v>0</v>
      </c>
      <c r="I80" s="150">
        <f ca="1">'104 (4)'!I80+'104 (8)'!I80</f>
        <v>0</v>
      </c>
      <c r="J80" s="150">
        <f ca="1">'104 (4)'!J80+'104 (8)'!J80</f>
        <v>0</v>
      </c>
      <c r="K80" s="150">
        <f ca="1">'104 (4)'!K80+'104 (8)'!K80</f>
        <v>0</v>
      </c>
      <c r="L80" s="150">
        <f ca="1">'104 (4)'!L80+'104 (8)'!L80</f>
        <v>0</v>
      </c>
      <c r="M80" s="150">
        <f ca="1">'104 (4)'!M80+'104 (8)'!M80</f>
        <v>0</v>
      </c>
      <c r="N80" s="150">
        <f ca="1">'104 (4)'!N80+'104 (8)'!N80</f>
        <v>0</v>
      </c>
      <c r="O80" s="150">
        <f ca="1">'104 (4)'!O80+'104 (8)'!O80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0.5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150">
        <f ca="1">'104 (4)'!D82+'104 (8)'!D82</f>
        <v>2</v>
      </c>
      <c r="E82" s="150">
        <f ca="1">'104 (4)'!E82+'104 (8)'!E82</f>
        <v>0</v>
      </c>
      <c r="F82" s="150">
        <f ca="1">'104 (4)'!F82+'104 (8)'!F82</f>
        <v>0</v>
      </c>
      <c r="G82" s="150">
        <f ca="1">'104 (4)'!G82+'104 (8)'!G82</f>
        <v>0</v>
      </c>
      <c r="H82" s="150">
        <f ca="1">'104 (4)'!H82+'104 (8)'!H82</f>
        <v>0</v>
      </c>
      <c r="I82" s="150">
        <f ca="1">'104 (4)'!I82+'104 (8)'!I82</f>
        <v>0</v>
      </c>
      <c r="J82" s="150">
        <f ca="1">'104 (4)'!J82+'104 (8)'!J82</f>
        <v>0</v>
      </c>
      <c r="K82" s="150">
        <f ca="1">'104 (4)'!K82+'104 (8)'!K82</f>
        <v>0</v>
      </c>
      <c r="L82" s="150">
        <f ca="1">'104 (4)'!L82+'104 (8)'!L82</f>
        <v>0</v>
      </c>
      <c r="M82" s="150">
        <f ca="1">'104 (4)'!M82+'104 (8)'!M82</f>
        <v>0</v>
      </c>
      <c r="N82" s="150">
        <f ca="1">'104 (4)'!N82+'104 (8)'!N82</f>
        <v>0</v>
      </c>
      <c r="O82" s="150">
        <f ca="1">'104 (4)'!O82+'104 (8)'!O82</f>
        <v>0</v>
      </c>
    </row>
    <row r="83" spans="1:15">
      <c r="A83" s="100" t="s">
        <v>372</v>
      </c>
      <c r="B83" s="97"/>
      <c r="C83" s="97"/>
      <c r="D83" s="150">
        <f ca="1">'104 (4)'!D83+'104 (8)'!D83</f>
        <v>2</v>
      </c>
      <c r="E83" s="150">
        <f ca="1">'104 (4)'!E83+'104 (8)'!E83</f>
        <v>0</v>
      </c>
      <c r="F83" s="150">
        <f ca="1">'104 (4)'!F83+'104 (8)'!F83</f>
        <v>0</v>
      </c>
      <c r="G83" s="150">
        <f ca="1">'104 (4)'!G83+'104 (8)'!G83</f>
        <v>0</v>
      </c>
      <c r="H83" s="150">
        <f ca="1">'104 (4)'!H83+'104 (8)'!H83</f>
        <v>0</v>
      </c>
      <c r="I83" s="150">
        <f ca="1">'104 (4)'!I83+'104 (8)'!I83</f>
        <v>0</v>
      </c>
      <c r="J83" s="150">
        <f ca="1">'104 (4)'!J83+'104 (8)'!J83</f>
        <v>0</v>
      </c>
      <c r="K83" s="150">
        <f ca="1">'104 (4)'!K83+'104 (8)'!K83</f>
        <v>0</v>
      </c>
      <c r="L83" s="150">
        <f ca="1">'104 (4)'!L83+'104 (8)'!L83</f>
        <v>0</v>
      </c>
      <c r="M83" s="150">
        <f ca="1">'104 (4)'!M83+'104 (8)'!M83</f>
        <v>0</v>
      </c>
      <c r="N83" s="150">
        <f ca="1">'104 (4)'!N83+'104 (8)'!N83</f>
        <v>0</v>
      </c>
      <c r="O83" s="150">
        <f ca="1">'104 (4)'!O83+'104 (8)'!O83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0.5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150">
        <f ca="1">'104 (4)'!D85+'104 (8)'!D85</f>
        <v>0</v>
      </c>
      <c r="E85" s="150">
        <f ca="1">'104 (4)'!E85+'104 (8)'!E85</f>
        <v>0</v>
      </c>
      <c r="F85" s="150">
        <f ca="1">'104 (4)'!F85+'104 (8)'!F85</f>
        <v>0</v>
      </c>
      <c r="G85" s="150">
        <f ca="1">'104 (4)'!G85+'104 (8)'!G85</f>
        <v>0</v>
      </c>
      <c r="H85" s="150">
        <f ca="1">'104 (4)'!H85+'104 (8)'!H85</f>
        <v>0</v>
      </c>
      <c r="I85" s="150">
        <f ca="1">'104 (4)'!I85+'104 (8)'!I85</f>
        <v>0</v>
      </c>
      <c r="J85" s="150">
        <f ca="1">'104 (4)'!J85+'104 (8)'!J85</f>
        <v>0</v>
      </c>
      <c r="K85" s="150">
        <f ca="1">'104 (4)'!K85+'104 (8)'!K85</f>
        <v>0</v>
      </c>
      <c r="L85" s="150">
        <f ca="1">'104 (4)'!L85+'104 (8)'!L85</f>
        <v>0</v>
      </c>
      <c r="M85" s="150">
        <f ca="1">'104 (4)'!M85+'104 (8)'!M85</f>
        <v>0</v>
      </c>
      <c r="N85" s="150">
        <f ca="1">'104 (4)'!N85+'104 (8)'!N85</f>
        <v>0</v>
      </c>
      <c r="O85" s="150">
        <f ca="1">'104 (4)'!O85+'104 (8)'!O85</f>
        <v>0</v>
      </c>
    </row>
    <row r="86" spans="1:15">
      <c r="A86" s="91" t="s">
        <v>372</v>
      </c>
      <c r="B86" s="92"/>
      <c r="C86" s="92"/>
      <c r="D86" s="150">
        <f ca="1">'104 (4)'!D86+'104 (8)'!D86</f>
        <v>1</v>
      </c>
      <c r="E86" s="150">
        <f ca="1">'104 (4)'!E86+'104 (8)'!E86</f>
        <v>0</v>
      </c>
      <c r="F86" s="150">
        <f ca="1">'104 (4)'!F86+'104 (8)'!F86</f>
        <v>0</v>
      </c>
      <c r="G86" s="150">
        <f ca="1">'104 (4)'!G86+'104 (8)'!G86</f>
        <v>0</v>
      </c>
      <c r="H86" s="150">
        <f ca="1">'104 (4)'!H86+'104 (8)'!H86</f>
        <v>0</v>
      </c>
      <c r="I86" s="150">
        <f ca="1">'104 (4)'!I86+'104 (8)'!I86</f>
        <v>0</v>
      </c>
      <c r="J86" s="150">
        <f ca="1">'104 (4)'!J86+'104 (8)'!J86</f>
        <v>0</v>
      </c>
      <c r="K86" s="150">
        <f ca="1">'104 (4)'!K86+'104 (8)'!K86</f>
        <v>0</v>
      </c>
      <c r="L86" s="150">
        <f ca="1">'104 (4)'!L86+'104 (8)'!L86</f>
        <v>0</v>
      </c>
      <c r="M86" s="150">
        <f ca="1">'104 (4)'!M86+'104 (8)'!M86</f>
        <v>0</v>
      </c>
      <c r="N86" s="150">
        <f ca="1">'104 (4)'!N86+'104 (8)'!N86</f>
        <v>0</v>
      </c>
      <c r="O86" s="150">
        <f ca="1">'104 (4)'!O86+'104 (8)'!O86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150">
        <f ca="1">'104 (4)'!D88+'104 (8)'!D88</f>
        <v>1</v>
      </c>
      <c r="E88" s="150">
        <f ca="1">'104 (4)'!E88+'104 (8)'!E88</f>
        <v>0</v>
      </c>
      <c r="F88" s="150">
        <f ca="1">'104 (4)'!F88+'104 (8)'!F88</f>
        <v>0</v>
      </c>
      <c r="G88" s="150">
        <f ca="1">'104 (4)'!G88+'104 (8)'!G88</f>
        <v>0</v>
      </c>
      <c r="H88" s="150">
        <f ca="1">'104 (4)'!H88+'104 (8)'!H88</f>
        <v>0</v>
      </c>
      <c r="I88" s="150">
        <f ca="1">'104 (4)'!I88+'104 (8)'!I88</f>
        <v>0</v>
      </c>
      <c r="J88" s="150">
        <f ca="1">'104 (4)'!J88+'104 (8)'!J88</f>
        <v>0</v>
      </c>
      <c r="K88" s="150">
        <f ca="1">'104 (4)'!K88+'104 (8)'!K88</f>
        <v>0</v>
      </c>
      <c r="L88" s="150">
        <f ca="1">'104 (4)'!L88+'104 (8)'!L88</f>
        <v>0</v>
      </c>
      <c r="M88" s="150">
        <f ca="1">'104 (4)'!M88+'104 (8)'!M88</f>
        <v>0</v>
      </c>
      <c r="N88" s="150">
        <f ca="1">'104 (4)'!N88+'104 (8)'!N88</f>
        <v>0</v>
      </c>
      <c r="O88" s="150">
        <f ca="1">'104 (4)'!O88+'104 (8)'!O88</f>
        <v>0</v>
      </c>
    </row>
    <row r="89" spans="1:15">
      <c r="A89" s="100" t="s">
        <v>372</v>
      </c>
      <c r="B89" s="97"/>
      <c r="C89" s="97"/>
      <c r="D89" s="150">
        <f ca="1">'104 (4)'!D89+'104 (8)'!D89</f>
        <v>0</v>
      </c>
      <c r="E89" s="150">
        <f ca="1">'104 (4)'!E89+'104 (8)'!E89</f>
        <v>0</v>
      </c>
      <c r="F89" s="150">
        <f ca="1">'104 (4)'!F89+'104 (8)'!F89</f>
        <v>0</v>
      </c>
      <c r="G89" s="150">
        <f ca="1">'104 (4)'!G89+'104 (8)'!G89</f>
        <v>0</v>
      </c>
      <c r="H89" s="150">
        <f ca="1">'104 (4)'!H89+'104 (8)'!H89</f>
        <v>0</v>
      </c>
      <c r="I89" s="150">
        <f ca="1">'104 (4)'!I89+'104 (8)'!I89</f>
        <v>0</v>
      </c>
      <c r="J89" s="150">
        <f ca="1">'104 (4)'!J89+'104 (8)'!J89</f>
        <v>0</v>
      </c>
      <c r="K89" s="150">
        <f ca="1">'104 (4)'!K89+'104 (8)'!K89</f>
        <v>0</v>
      </c>
      <c r="L89" s="150">
        <f ca="1">'104 (4)'!L89+'104 (8)'!L89</f>
        <v>0</v>
      </c>
      <c r="M89" s="150">
        <f ca="1">'104 (4)'!M89+'104 (8)'!M89</f>
        <v>0</v>
      </c>
      <c r="N89" s="150">
        <f ca="1">'104 (4)'!N89+'104 (8)'!N89</f>
        <v>0</v>
      </c>
      <c r="O89" s="150">
        <f ca="1">'104 (4)'!O89+'104 (8)'!O89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150">
        <f ca="1">'104 (4)'!D91+'104 (8)'!D91</f>
        <v>3</v>
      </c>
      <c r="E91" s="150">
        <f ca="1">'104 (4)'!E91+'104 (8)'!E91</f>
        <v>0</v>
      </c>
      <c r="F91" s="150">
        <f ca="1">'104 (4)'!F91+'104 (8)'!F91</f>
        <v>0</v>
      </c>
      <c r="G91" s="150">
        <f ca="1">'104 (4)'!G91+'104 (8)'!G91</f>
        <v>0</v>
      </c>
      <c r="H91" s="150">
        <f ca="1">'104 (4)'!H91+'104 (8)'!H91</f>
        <v>0</v>
      </c>
      <c r="I91" s="150">
        <f ca="1">'104 (4)'!I91+'104 (8)'!I91</f>
        <v>0</v>
      </c>
      <c r="J91" s="150">
        <f ca="1">'104 (4)'!J91+'104 (8)'!J91</f>
        <v>0</v>
      </c>
      <c r="K91" s="150">
        <f ca="1">'104 (4)'!K91+'104 (8)'!K91</f>
        <v>0</v>
      </c>
      <c r="L91" s="150">
        <f ca="1">'104 (4)'!L91+'104 (8)'!L91</f>
        <v>0</v>
      </c>
      <c r="M91" s="150">
        <f ca="1">'104 (4)'!M91+'104 (8)'!M91</f>
        <v>0</v>
      </c>
      <c r="N91" s="150">
        <f ca="1">'104 (4)'!N91+'104 (8)'!N91</f>
        <v>0</v>
      </c>
      <c r="O91" s="150">
        <f ca="1">'104 (4)'!O91+'104 (8)'!O91</f>
        <v>0</v>
      </c>
    </row>
    <row r="92" spans="1:15">
      <c r="A92" s="91" t="s">
        <v>372</v>
      </c>
      <c r="B92" s="92"/>
      <c r="C92" s="92"/>
      <c r="D92" s="150">
        <f ca="1">'104 (4)'!D92+'104 (8)'!D92</f>
        <v>5</v>
      </c>
      <c r="E92" s="150">
        <f ca="1">'104 (4)'!E92+'104 (8)'!E92</f>
        <v>0</v>
      </c>
      <c r="F92" s="150">
        <f ca="1">'104 (4)'!F92+'104 (8)'!F92</f>
        <v>0</v>
      </c>
      <c r="G92" s="150">
        <f ca="1">'104 (4)'!G92+'104 (8)'!G92</f>
        <v>0</v>
      </c>
      <c r="H92" s="150">
        <f ca="1">'104 (4)'!H92+'104 (8)'!H92</f>
        <v>0</v>
      </c>
      <c r="I92" s="150">
        <f ca="1">'104 (4)'!I92+'104 (8)'!I92</f>
        <v>0</v>
      </c>
      <c r="J92" s="150">
        <f ca="1">'104 (4)'!J92+'104 (8)'!J92</f>
        <v>0</v>
      </c>
      <c r="K92" s="150">
        <f ca="1">'104 (4)'!K92+'104 (8)'!K92</f>
        <v>0</v>
      </c>
      <c r="L92" s="150">
        <f ca="1">'104 (4)'!L92+'104 (8)'!L92</f>
        <v>0</v>
      </c>
      <c r="M92" s="150">
        <f ca="1">'104 (4)'!M92+'104 (8)'!M92</f>
        <v>0</v>
      </c>
      <c r="N92" s="150">
        <f ca="1">'104 (4)'!N92+'104 (8)'!N92</f>
        <v>0</v>
      </c>
      <c r="O92" s="150">
        <f ca="1">'104 (4)'!O92+'104 (8)'!O92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0.375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150">
        <f ca="1">'104 (4)'!D94+'104 (8)'!D94</f>
        <v>8</v>
      </c>
      <c r="E94" s="150">
        <f ca="1">'104 (4)'!E94+'104 (8)'!E94</f>
        <v>0</v>
      </c>
      <c r="F94" s="150">
        <f ca="1">'104 (4)'!F94+'104 (8)'!F94</f>
        <v>0</v>
      </c>
      <c r="G94" s="150">
        <f ca="1">'104 (4)'!G94+'104 (8)'!G94</f>
        <v>0</v>
      </c>
      <c r="H94" s="150">
        <f ca="1">'104 (4)'!H94+'104 (8)'!H94</f>
        <v>0</v>
      </c>
      <c r="I94" s="150">
        <f ca="1">'104 (4)'!I94+'104 (8)'!I94</f>
        <v>0</v>
      </c>
      <c r="J94" s="150">
        <f ca="1">'104 (4)'!J94+'104 (8)'!J94</f>
        <v>0</v>
      </c>
      <c r="K94" s="150">
        <f ca="1">'104 (4)'!K94+'104 (8)'!K94</f>
        <v>0</v>
      </c>
      <c r="L94" s="150">
        <f ca="1">'104 (4)'!L94+'104 (8)'!L94</f>
        <v>0</v>
      </c>
      <c r="M94" s="150">
        <f ca="1">'104 (4)'!M94+'104 (8)'!M94</f>
        <v>0</v>
      </c>
      <c r="N94" s="150">
        <f ca="1">'104 (4)'!N94+'104 (8)'!N94</f>
        <v>0</v>
      </c>
      <c r="O94" s="150">
        <f ca="1">'104 (4)'!O94+'104 (8)'!O94</f>
        <v>0</v>
      </c>
    </row>
    <row r="95" spans="1:15">
      <c r="A95" s="100" t="s">
        <v>372</v>
      </c>
      <c r="B95" s="97"/>
      <c r="C95" s="97"/>
      <c r="D95" s="150">
        <f ca="1">'104 (4)'!D95+'104 (8)'!D95</f>
        <v>5</v>
      </c>
      <c r="E95" s="150">
        <f ca="1">'104 (4)'!E95+'104 (8)'!E95</f>
        <v>0</v>
      </c>
      <c r="F95" s="150">
        <f ca="1">'104 (4)'!F95+'104 (8)'!F95</f>
        <v>0</v>
      </c>
      <c r="G95" s="150">
        <f ca="1">'104 (4)'!G95+'104 (8)'!G95</f>
        <v>0</v>
      </c>
      <c r="H95" s="150">
        <f ca="1">'104 (4)'!H95+'104 (8)'!H95</f>
        <v>0</v>
      </c>
      <c r="I95" s="150">
        <f ca="1">'104 (4)'!I95+'104 (8)'!I95</f>
        <v>0</v>
      </c>
      <c r="J95" s="150">
        <f ca="1">'104 (4)'!J95+'104 (8)'!J95</f>
        <v>0</v>
      </c>
      <c r="K95" s="150">
        <f ca="1">'104 (4)'!K95+'104 (8)'!K95</f>
        <v>0</v>
      </c>
      <c r="L95" s="150">
        <f ca="1">'104 (4)'!L95+'104 (8)'!L95</f>
        <v>0</v>
      </c>
      <c r="M95" s="150">
        <f ca="1">'104 (4)'!M95+'104 (8)'!M95</f>
        <v>0</v>
      </c>
      <c r="N95" s="150">
        <f ca="1">'104 (4)'!N95+'104 (8)'!N95</f>
        <v>0</v>
      </c>
      <c r="O95" s="150">
        <f ca="1">'104 (4)'!O95+'104 (8)'!O95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0.61538461538461542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150">
        <f ca="1">'104 (4)'!D97+'104 (8)'!D97</f>
        <v>28</v>
      </c>
      <c r="E97" s="150">
        <f ca="1">'104 (4)'!E97+'104 (8)'!E97</f>
        <v>0</v>
      </c>
      <c r="F97" s="150">
        <f ca="1">'104 (4)'!F97+'104 (8)'!F97</f>
        <v>0</v>
      </c>
      <c r="G97" s="150">
        <f ca="1">'104 (4)'!G97+'104 (8)'!G97</f>
        <v>0</v>
      </c>
      <c r="H97" s="150">
        <f ca="1">'104 (4)'!H97+'104 (8)'!H97</f>
        <v>0</v>
      </c>
      <c r="I97" s="150">
        <f ca="1">'104 (4)'!I97+'104 (8)'!I97</f>
        <v>0</v>
      </c>
      <c r="J97" s="150">
        <f ca="1">'104 (4)'!J97+'104 (8)'!J97</f>
        <v>0</v>
      </c>
      <c r="K97" s="150">
        <f ca="1">'104 (4)'!K97+'104 (8)'!K97</f>
        <v>0</v>
      </c>
      <c r="L97" s="150">
        <f ca="1">'104 (4)'!L97+'104 (8)'!L97</f>
        <v>0</v>
      </c>
      <c r="M97" s="150">
        <f ca="1">'104 (4)'!M97+'104 (8)'!M97</f>
        <v>0</v>
      </c>
      <c r="N97" s="150">
        <f ca="1">'104 (4)'!N97+'104 (8)'!N97</f>
        <v>0</v>
      </c>
      <c r="O97" s="150">
        <f ca="1">'104 (4)'!O97+'104 (8)'!O97</f>
        <v>0</v>
      </c>
    </row>
    <row r="98" spans="1:15">
      <c r="A98" s="91" t="s">
        <v>372</v>
      </c>
      <c r="B98" s="92"/>
      <c r="C98" s="92"/>
      <c r="D98" s="150">
        <f ca="1">'104 (4)'!D98+'104 (8)'!D98</f>
        <v>102</v>
      </c>
      <c r="E98" s="150">
        <f ca="1">'104 (4)'!E98+'104 (8)'!E98</f>
        <v>0</v>
      </c>
      <c r="F98" s="150">
        <f ca="1">'104 (4)'!F98+'104 (8)'!F98</f>
        <v>0</v>
      </c>
      <c r="G98" s="150">
        <f ca="1">'104 (4)'!G98+'104 (8)'!G98</f>
        <v>0</v>
      </c>
      <c r="H98" s="150">
        <f ca="1">'104 (4)'!H98+'104 (8)'!H98</f>
        <v>0</v>
      </c>
      <c r="I98" s="150">
        <f ca="1">'104 (4)'!I98+'104 (8)'!I98</f>
        <v>0</v>
      </c>
      <c r="J98" s="150">
        <f ca="1">'104 (4)'!J98+'104 (8)'!J98</f>
        <v>0</v>
      </c>
      <c r="K98" s="150">
        <f ca="1">'104 (4)'!K98+'104 (8)'!K98</f>
        <v>0</v>
      </c>
      <c r="L98" s="150">
        <f ca="1">'104 (4)'!L98+'104 (8)'!L98</f>
        <v>0</v>
      </c>
      <c r="M98" s="150">
        <f ca="1">'104 (4)'!M98+'104 (8)'!M98</f>
        <v>0</v>
      </c>
      <c r="N98" s="150">
        <f ca="1">'104 (4)'!N98+'104 (8)'!N98</f>
        <v>0</v>
      </c>
      <c r="O98" s="150">
        <f ca="1">'104 (4)'!O98+'104 (8)'!O98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0.2153846153846154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150">
        <f ca="1">'104 (4)'!D100+'104 (8)'!D100</f>
        <v>21</v>
      </c>
      <c r="E100" s="150">
        <f ca="1">'104 (4)'!E100+'104 (8)'!E100</f>
        <v>0</v>
      </c>
      <c r="F100" s="150">
        <f ca="1">'104 (4)'!F100+'104 (8)'!F100</f>
        <v>0</v>
      </c>
      <c r="G100" s="150">
        <f ca="1">'104 (4)'!G100+'104 (8)'!G100</f>
        <v>0</v>
      </c>
      <c r="H100" s="150">
        <f ca="1">'104 (4)'!H100+'104 (8)'!H100</f>
        <v>0</v>
      </c>
      <c r="I100" s="150">
        <f ca="1">'104 (4)'!I100+'104 (8)'!I100</f>
        <v>0</v>
      </c>
      <c r="J100" s="150">
        <f ca="1">'104 (4)'!J100+'104 (8)'!J100</f>
        <v>0</v>
      </c>
      <c r="K100" s="150">
        <f ca="1">'104 (4)'!K100+'104 (8)'!K100</f>
        <v>0</v>
      </c>
      <c r="L100" s="150">
        <f ca="1">'104 (4)'!L100+'104 (8)'!L100</f>
        <v>0</v>
      </c>
      <c r="M100" s="150">
        <f ca="1">'104 (4)'!M100+'104 (8)'!M100</f>
        <v>0</v>
      </c>
      <c r="N100" s="150">
        <f ca="1">'104 (4)'!N100+'104 (8)'!N100</f>
        <v>0</v>
      </c>
      <c r="O100" s="150">
        <f ca="1">'104 (4)'!O100+'104 (8)'!O100</f>
        <v>0</v>
      </c>
    </row>
    <row r="101" spans="1:15">
      <c r="A101" s="100" t="s">
        <v>372</v>
      </c>
      <c r="B101" s="97"/>
      <c r="C101" s="97"/>
      <c r="D101" s="150">
        <f ca="1">'104 (4)'!D101+'104 (8)'!D101</f>
        <v>89</v>
      </c>
      <c r="E101" s="150">
        <f ca="1">'104 (4)'!E101+'104 (8)'!E101</f>
        <v>0</v>
      </c>
      <c r="F101" s="150">
        <f ca="1">'104 (4)'!F101+'104 (8)'!F101</f>
        <v>0</v>
      </c>
      <c r="G101" s="150">
        <f ca="1">'104 (4)'!G101+'104 (8)'!G101</f>
        <v>0</v>
      </c>
      <c r="H101" s="150">
        <f ca="1">'104 (4)'!H101+'104 (8)'!H101</f>
        <v>0</v>
      </c>
      <c r="I101" s="150">
        <f ca="1">'104 (4)'!I101+'104 (8)'!I101</f>
        <v>0</v>
      </c>
      <c r="J101" s="150">
        <f ca="1">'104 (4)'!J101+'104 (8)'!J101</f>
        <v>0</v>
      </c>
      <c r="K101" s="150">
        <f ca="1">'104 (4)'!K101+'104 (8)'!K101</f>
        <v>0</v>
      </c>
      <c r="L101" s="150">
        <f ca="1">'104 (4)'!L101+'104 (8)'!L101</f>
        <v>0</v>
      </c>
      <c r="M101" s="150">
        <f ca="1">'104 (4)'!M101+'104 (8)'!M101</f>
        <v>0</v>
      </c>
      <c r="N101" s="150">
        <f ca="1">'104 (4)'!N101+'104 (8)'!N101</f>
        <v>0</v>
      </c>
      <c r="O101" s="150">
        <f ca="1">'104 (4)'!O101+'104 (8)'!O101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0.19090909090909092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150">
        <f ca="1">'104 (4)'!D103+'104 (8)'!D103</f>
        <v>0</v>
      </c>
      <c r="E103" s="150">
        <f ca="1">'104 (4)'!E103+'104 (8)'!E103</f>
        <v>0</v>
      </c>
      <c r="F103" s="150">
        <f ca="1">'104 (4)'!F103+'104 (8)'!F103</f>
        <v>0</v>
      </c>
      <c r="G103" s="150">
        <f ca="1">'104 (4)'!G103+'104 (8)'!G103</f>
        <v>0</v>
      </c>
      <c r="H103" s="150">
        <f ca="1">'104 (4)'!H103+'104 (8)'!H103</f>
        <v>0</v>
      </c>
      <c r="I103" s="150">
        <f ca="1">'104 (4)'!I103+'104 (8)'!I103</f>
        <v>0</v>
      </c>
      <c r="J103" s="150">
        <f ca="1">'104 (4)'!J103+'104 (8)'!J103</f>
        <v>0</v>
      </c>
      <c r="K103" s="150">
        <f ca="1">'104 (4)'!K103+'104 (8)'!K103</f>
        <v>0</v>
      </c>
      <c r="L103" s="150">
        <f ca="1">'104 (4)'!L103+'104 (8)'!L103</f>
        <v>0</v>
      </c>
      <c r="M103" s="150">
        <f ca="1">'104 (4)'!M103+'104 (8)'!M103</f>
        <v>0</v>
      </c>
      <c r="N103" s="150">
        <f ca="1">'104 (4)'!N103+'104 (8)'!N103</f>
        <v>0</v>
      </c>
      <c r="O103" s="150">
        <f ca="1">'104 (4)'!O103+'104 (8)'!O103</f>
        <v>0</v>
      </c>
    </row>
    <row r="104" spans="1:15">
      <c r="A104" s="91" t="s">
        <v>372</v>
      </c>
      <c r="B104" s="92"/>
      <c r="C104" s="92"/>
      <c r="D104" s="150">
        <f ca="1">'104 (4)'!D104+'104 (8)'!D104</f>
        <v>22</v>
      </c>
      <c r="E104" s="150">
        <f ca="1">'104 (4)'!E104+'104 (8)'!E104</f>
        <v>0</v>
      </c>
      <c r="F104" s="150">
        <f ca="1">'104 (4)'!F104+'104 (8)'!F104</f>
        <v>0</v>
      </c>
      <c r="G104" s="150">
        <f ca="1">'104 (4)'!G104+'104 (8)'!G104</f>
        <v>0</v>
      </c>
      <c r="H104" s="150">
        <f ca="1">'104 (4)'!H104+'104 (8)'!H104</f>
        <v>0</v>
      </c>
      <c r="I104" s="150">
        <f ca="1">'104 (4)'!I104+'104 (8)'!I104</f>
        <v>0</v>
      </c>
      <c r="J104" s="150">
        <f ca="1">'104 (4)'!J104+'104 (8)'!J104</f>
        <v>0</v>
      </c>
      <c r="K104" s="150">
        <f ca="1">'104 (4)'!K104+'104 (8)'!K104</f>
        <v>0</v>
      </c>
      <c r="L104" s="150">
        <f ca="1">'104 (4)'!L104+'104 (8)'!L104</f>
        <v>0</v>
      </c>
      <c r="M104" s="150">
        <f ca="1">'104 (4)'!M104+'104 (8)'!M104</f>
        <v>0</v>
      </c>
      <c r="N104" s="150">
        <f ca="1">'104 (4)'!N104+'104 (8)'!N104</f>
        <v>0</v>
      </c>
      <c r="O104" s="150">
        <f ca="1">'104 (4)'!O104+'104 (8)'!O104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150">
        <f ca="1">'104 (4)'!D106+'104 (8)'!D106</f>
        <v>5</v>
      </c>
      <c r="E106" s="150">
        <f ca="1">'104 (4)'!E106+'104 (8)'!E106</f>
        <v>0</v>
      </c>
      <c r="F106" s="150">
        <f ca="1">'104 (4)'!F106+'104 (8)'!F106</f>
        <v>0</v>
      </c>
      <c r="G106" s="150">
        <f ca="1">'104 (4)'!G106+'104 (8)'!G106</f>
        <v>0</v>
      </c>
      <c r="H106" s="150">
        <f ca="1">'104 (4)'!H106+'104 (8)'!H106</f>
        <v>0</v>
      </c>
      <c r="I106" s="150">
        <f ca="1">'104 (4)'!I106+'104 (8)'!I106</f>
        <v>0</v>
      </c>
      <c r="J106" s="150">
        <f ca="1">'104 (4)'!J106+'104 (8)'!J106</f>
        <v>0</v>
      </c>
      <c r="K106" s="150">
        <f ca="1">'104 (4)'!K106+'104 (8)'!K106</f>
        <v>0</v>
      </c>
      <c r="L106" s="150">
        <f ca="1">'104 (4)'!L106+'104 (8)'!L106</f>
        <v>0</v>
      </c>
      <c r="M106" s="150">
        <f ca="1">'104 (4)'!M106+'104 (8)'!M106</f>
        <v>0</v>
      </c>
      <c r="N106" s="150">
        <f ca="1">'104 (4)'!N106+'104 (8)'!N106</f>
        <v>0</v>
      </c>
      <c r="O106" s="150">
        <f ca="1">'104 (4)'!O106+'104 (8)'!O106</f>
        <v>0</v>
      </c>
    </row>
    <row r="107" spans="1:15">
      <c r="A107" s="100" t="s">
        <v>372</v>
      </c>
      <c r="B107" s="97"/>
      <c r="C107" s="97"/>
      <c r="D107" s="150">
        <f ca="1">'104 (4)'!D107+'104 (8)'!D107</f>
        <v>19</v>
      </c>
      <c r="E107" s="150">
        <f ca="1">'104 (4)'!E107+'104 (8)'!E107</f>
        <v>0</v>
      </c>
      <c r="F107" s="150">
        <f ca="1">'104 (4)'!F107+'104 (8)'!F107</f>
        <v>0</v>
      </c>
      <c r="G107" s="150">
        <f ca="1">'104 (4)'!G107+'104 (8)'!G107</f>
        <v>0</v>
      </c>
      <c r="H107" s="150">
        <f ca="1">'104 (4)'!H107+'104 (8)'!H107</f>
        <v>0</v>
      </c>
      <c r="I107" s="150">
        <f ca="1">'104 (4)'!I107+'104 (8)'!I107</f>
        <v>0</v>
      </c>
      <c r="J107" s="150">
        <f ca="1">'104 (4)'!J107+'104 (8)'!J107</f>
        <v>0</v>
      </c>
      <c r="K107" s="150">
        <f ca="1">'104 (4)'!K107+'104 (8)'!K107</f>
        <v>0</v>
      </c>
      <c r="L107" s="150">
        <f ca="1">'104 (4)'!L107+'104 (8)'!L107</f>
        <v>0</v>
      </c>
      <c r="M107" s="150">
        <f ca="1">'104 (4)'!M107+'104 (8)'!M107</f>
        <v>0</v>
      </c>
      <c r="N107" s="150">
        <f ca="1">'104 (4)'!N107+'104 (8)'!N107</f>
        <v>0</v>
      </c>
      <c r="O107" s="150">
        <f ca="1">'104 (4)'!O107+'104 (8)'!O107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0.20833333333333334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397</v>
      </c>
      <c r="C1" s="2" t="s">
        <v>532</v>
      </c>
      <c r="D1" s="2">
        <v>66</v>
      </c>
    </row>
    <row r="2" spans="1:15">
      <c r="C2" s="2" t="s">
        <v>531</v>
      </c>
      <c r="D2" s="2">
        <v>67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154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141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54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24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4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55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71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7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4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3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2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13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43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35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2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13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24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22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9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22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17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65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69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38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15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8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43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0.29251700680272108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35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86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0.28925619834710742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15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27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0.35714285714285715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8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22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0.26666666666666666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2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0.33333333333333331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2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0.33333333333333331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0.66666666666666663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4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3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0.5714285714285714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15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71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0.1744186046511628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8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55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0.12698412698412698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16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2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0.16666666666666666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396</v>
      </c>
      <c r="C1" s="2" t="s">
        <v>532</v>
      </c>
      <c r="D1" s="2">
        <v>78</v>
      </c>
    </row>
    <row r="2" spans="1:15">
      <c r="C2" s="2" t="s">
        <v>531</v>
      </c>
      <c r="D2" s="2">
        <v>79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62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101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4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40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54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4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29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34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12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10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21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16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1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18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21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25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41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6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29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53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0.35365853658536583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34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57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0.37362637362637363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6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9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0.4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8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0.27272727272727271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1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4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0.2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4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0.66666666666666663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13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0.29545454545454547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34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0.27659574468085107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6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3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9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'105 (5)'!D4+'105 (9)'!D4+'105 (10)'!D4+'105 (11)'!D4</f>
        <v>433</v>
      </c>
      <c r="E4" s="24">
        <f ca="1">'105 (5)'!E4+'105 (9)'!E4+'105 (10)'!E4+'105 (11)'!E4</f>
        <v>0</v>
      </c>
      <c r="F4" s="24">
        <f ca="1">'105 (5)'!F4+'105 (9)'!F4+'105 (10)'!F4+'105 (11)'!F4</f>
        <v>0</v>
      </c>
      <c r="G4" s="24">
        <f ca="1">'105 (5)'!G4+'105 (9)'!G4+'105 (10)'!G4+'105 (11)'!G4</f>
        <v>0</v>
      </c>
      <c r="H4" s="24">
        <f ca="1">'105 (5)'!H4+'105 (9)'!H4+'105 (10)'!H4+'105 (11)'!H4</f>
        <v>0</v>
      </c>
      <c r="I4" s="24">
        <f ca="1">'105 (5)'!I4+'105 (9)'!I4+'105 (10)'!I4+'105 (11)'!I4</f>
        <v>0</v>
      </c>
      <c r="J4" s="24">
        <f ca="1">'105 (5)'!J4+'105 (9)'!J4+'105 (10)'!J4+'105 (11)'!J4</f>
        <v>0</v>
      </c>
      <c r="K4" s="24">
        <f ca="1">'105 (5)'!K4+'105 (9)'!K4+'105 (10)'!K4+'105 (11)'!K4</f>
        <v>0</v>
      </c>
      <c r="L4" s="24">
        <f ca="1">'105 (5)'!L4+'105 (9)'!L4+'105 (10)'!L4+'105 (11)'!L4</f>
        <v>0</v>
      </c>
      <c r="M4" s="24">
        <f ca="1">'105 (5)'!M4+'105 (9)'!M4+'105 (10)'!M4+'105 (11)'!M4</f>
        <v>0</v>
      </c>
      <c r="N4" s="24">
        <f ca="1">'105 (5)'!N4+'105 (9)'!N4+'105 (10)'!N4+'105 (11)'!N4</f>
        <v>0</v>
      </c>
      <c r="O4" s="24">
        <f ca="1">'105 (5)'!O4+'105 (9)'!O4+'105 (10)'!O4+'105 (11)'!O4</f>
        <v>0</v>
      </c>
    </row>
    <row r="5" spans="1:15" ht="18.75">
      <c r="A5" s="22"/>
      <c r="B5" s="24"/>
      <c r="C5" s="33">
        <f>Справочник!J1</f>
        <v>2019</v>
      </c>
      <c r="D5" s="24">
        <f ca="1">'105 (5)'!D5+'105 (9)'!D5+'105 (10)'!D5+'105 (11)'!D5</f>
        <v>450</v>
      </c>
      <c r="E5" s="24">
        <f ca="1">'105 (5)'!E5+'105 (9)'!E5+'105 (10)'!E5+'105 (11)'!E5</f>
        <v>0</v>
      </c>
      <c r="F5" s="24">
        <f ca="1">'105 (5)'!F5+'105 (9)'!F5+'105 (10)'!F5+'105 (11)'!F5</f>
        <v>0</v>
      </c>
      <c r="G5" s="24">
        <f ca="1">'105 (5)'!G5+'105 (9)'!G5+'105 (10)'!G5+'105 (11)'!G5</f>
        <v>0</v>
      </c>
      <c r="H5" s="24">
        <f ca="1">'105 (5)'!H5+'105 (9)'!H5+'105 (10)'!H5+'105 (11)'!H5</f>
        <v>0</v>
      </c>
      <c r="I5" s="24">
        <f ca="1">'105 (5)'!I5+'105 (9)'!I5+'105 (10)'!I5+'105 (11)'!I5</f>
        <v>0</v>
      </c>
      <c r="J5" s="24">
        <f ca="1">'105 (5)'!J5+'105 (9)'!J5+'105 (10)'!J5+'105 (11)'!J5</f>
        <v>0</v>
      </c>
      <c r="K5" s="24">
        <f ca="1">'105 (5)'!K5+'105 (9)'!K5+'105 (10)'!K5+'105 (11)'!K5</f>
        <v>0</v>
      </c>
      <c r="L5" s="24">
        <f ca="1">'105 (5)'!L5+'105 (9)'!L5+'105 (10)'!L5+'105 (11)'!L5</f>
        <v>0</v>
      </c>
      <c r="M5" s="24">
        <f ca="1">'105 (5)'!M5+'105 (9)'!M5+'105 (10)'!M5+'105 (11)'!M5</f>
        <v>0</v>
      </c>
      <c r="N5" s="24">
        <f ca="1">'105 (5)'!N5+'105 (9)'!N5+'105 (10)'!N5+'105 (11)'!N5</f>
        <v>0</v>
      </c>
      <c r="O5" s="24">
        <f ca="1">'105 (5)'!O5+'105 (9)'!O5+'105 (10)'!O5+'105 (11)'!O5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'105 (5)'!D6+'105 (9)'!D6+'105 (10)'!D6+'105 (11)'!D6</f>
        <v>89</v>
      </c>
      <c r="E6" s="24">
        <f ca="1">'105 (5)'!E6+'105 (9)'!E6+'105 (10)'!E6+'105 (11)'!E6</f>
        <v>0</v>
      </c>
      <c r="F6" s="24">
        <f ca="1">'105 (5)'!F6+'105 (9)'!F6+'105 (10)'!F6+'105 (11)'!F6</f>
        <v>0</v>
      </c>
      <c r="G6" s="24">
        <f ca="1">'105 (5)'!G6+'105 (9)'!G6+'105 (10)'!G6+'105 (11)'!G6</f>
        <v>0</v>
      </c>
      <c r="H6" s="24">
        <f ca="1">'105 (5)'!H6+'105 (9)'!H6+'105 (10)'!H6+'105 (11)'!H6</f>
        <v>0</v>
      </c>
      <c r="I6" s="24">
        <f ca="1">'105 (5)'!I6+'105 (9)'!I6+'105 (10)'!I6+'105 (11)'!I6</f>
        <v>0</v>
      </c>
      <c r="J6" s="24">
        <f ca="1">'105 (5)'!J6+'105 (9)'!J6+'105 (10)'!J6+'105 (11)'!J6</f>
        <v>0</v>
      </c>
      <c r="K6" s="24">
        <f ca="1">'105 (5)'!K6+'105 (9)'!K6+'105 (10)'!K6+'105 (11)'!K6</f>
        <v>0</v>
      </c>
      <c r="L6" s="24">
        <f ca="1">'105 (5)'!L6+'105 (9)'!L6+'105 (10)'!L6+'105 (11)'!L6</f>
        <v>0</v>
      </c>
      <c r="M6" s="24">
        <f ca="1">'105 (5)'!M6+'105 (9)'!M6+'105 (10)'!M6+'105 (11)'!M6</f>
        <v>0</v>
      </c>
      <c r="N6" s="24">
        <f ca="1">'105 (5)'!N6+'105 (9)'!N6+'105 (10)'!N6+'105 (11)'!N6</f>
        <v>0</v>
      </c>
      <c r="O6" s="24">
        <f ca="1">'105 (5)'!O6+'105 (9)'!O6+'105 (10)'!O6+'105 (11)'!O6</f>
        <v>0</v>
      </c>
    </row>
    <row r="7" spans="1:15">
      <c r="A7" s="25"/>
      <c r="B7" s="24"/>
      <c r="C7" s="34">
        <f>Справочник!J1</f>
        <v>2019</v>
      </c>
      <c r="D7" s="24">
        <f ca="1">'105 (5)'!D7+'105 (9)'!D7+'105 (10)'!D7+'105 (11)'!D7</f>
        <v>93</v>
      </c>
      <c r="E7" s="24">
        <f ca="1">'105 (5)'!E7+'105 (9)'!E7+'105 (10)'!E7+'105 (11)'!E7</f>
        <v>0</v>
      </c>
      <c r="F7" s="24">
        <f ca="1">'105 (5)'!F7+'105 (9)'!F7+'105 (10)'!F7+'105 (11)'!F7</f>
        <v>0</v>
      </c>
      <c r="G7" s="24">
        <f ca="1">'105 (5)'!G7+'105 (9)'!G7+'105 (10)'!G7+'105 (11)'!G7</f>
        <v>0</v>
      </c>
      <c r="H7" s="24">
        <f ca="1">'105 (5)'!H7+'105 (9)'!H7+'105 (10)'!H7+'105 (11)'!H7</f>
        <v>0</v>
      </c>
      <c r="I7" s="24">
        <f ca="1">'105 (5)'!I7+'105 (9)'!I7+'105 (10)'!I7+'105 (11)'!I7</f>
        <v>0</v>
      </c>
      <c r="J7" s="24">
        <f ca="1">'105 (5)'!J7+'105 (9)'!J7+'105 (10)'!J7+'105 (11)'!J7</f>
        <v>0</v>
      </c>
      <c r="K7" s="24">
        <f ca="1">'105 (5)'!K7+'105 (9)'!K7+'105 (10)'!K7+'105 (11)'!K7</f>
        <v>0</v>
      </c>
      <c r="L7" s="24">
        <f ca="1">'105 (5)'!L7+'105 (9)'!L7+'105 (10)'!L7+'105 (11)'!L7</f>
        <v>0</v>
      </c>
      <c r="M7" s="24">
        <f ca="1">'105 (5)'!M7+'105 (9)'!M7+'105 (10)'!M7+'105 (11)'!M7</f>
        <v>0</v>
      </c>
      <c r="N7" s="24">
        <f ca="1">'105 (5)'!N7+'105 (9)'!N7+'105 (10)'!N7+'105 (11)'!N7</f>
        <v>0</v>
      </c>
      <c r="O7" s="24">
        <f ca="1">'105 (5)'!O7+'105 (9)'!O7+'105 (10)'!O7+'105 (11)'!O7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'105 (5)'!D8+'105 (9)'!D8+'105 (10)'!D8+'105 (11)'!D8</f>
        <v>2</v>
      </c>
      <c r="E8" s="24">
        <f ca="1">'105 (5)'!E8+'105 (9)'!E8+'105 (10)'!E8+'105 (11)'!E8</f>
        <v>0</v>
      </c>
      <c r="F8" s="24">
        <f ca="1">'105 (5)'!F8+'105 (9)'!F8+'105 (10)'!F8+'105 (11)'!F8</f>
        <v>0</v>
      </c>
      <c r="G8" s="24">
        <f ca="1">'105 (5)'!G8+'105 (9)'!G8+'105 (10)'!G8+'105 (11)'!G8</f>
        <v>0</v>
      </c>
      <c r="H8" s="24">
        <f ca="1">'105 (5)'!H8+'105 (9)'!H8+'105 (10)'!H8+'105 (11)'!H8</f>
        <v>0</v>
      </c>
      <c r="I8" s="24">
        <f ca="1">'105 (5)'!I8+'105 (9)'!I8+'105 (10)'!I8+'105 (11)'!I8</f>
        <v>0</v>
      </c>
      <c r="J8" s="24">
        <f ca="1">'105 (5)'!J8+'105 (9)'!J8+'105 (10)'!J8+'105 (11)'!J8</f>
        <v>0</v>
      </c>
      <c r="K8" s="24">
        <f ca="1">'105 (5)'!K8+'105 (9)'!K8+'105 (10)'!K8+'105 (11)'!K8</f>
        <v>0</v>
      </c>
      <c r="L8" s="24">
        <f ca="1">'105 (5)'!L8+'105 (9)'!L8+'105 (10)'!L8+'105 (11)'!L8</f>
        <v>0</v>
      </c>
      <c r="M8" s="24">
        <f ca="1">'105 (5)'!M8+'105 (9)'!M8+'105 (10)'!M8+'105 (11)'!M8</f>
        <v>0</v>
      </c>
      <c r="N8" s="24">
        <f ca="1">'105 (5)'!N8+'105 (9)'!N8+'105 (10)'!N8+'105 (11)'!N8</f>
        <v>0</v>
      </c>
      <c r="O8" s="24">
        <f ca="1">'105 (5)'!O8+'105 (9)'!O8+'105 (10)'!O8+'105 (11)'!O8</f>
        <v>0</v>
      </c>
    </row>
    <row r="9" spans="1:15">
      <c r="A9" s="32"/>
      <c r="B9" s="24"/>
      <c r="C9" s="34">
        <f>Справочник!J1</f>
        <v>2019</v>
      </c>
      <c r="D9" s="24">
        <f ca="1">'105 (5)'!D9+'105 (9)'!D9+'105 (10)'!D9+'105 (11)'!D9</f>
        <v>2</v>
      </c>
      <c r="E9" s="24">
        <f ca="1">'105 (5)'!E9+'105 (9)'!E9+'105 (10)'!E9+'105 (11)'!E9</f>
        <v>0</v>
      </c>
      <c r="F9" s="24">
        <f ca="1">'105 (5)'!F9+'105 (9)'!F9+'105 (10)'!F9+'105 (11)'!F9</f>
        <v>0</v>
      </c>
      <c r="G9" s="24">
        <f ca="1">'105 (5)'!G9+'105 (9)'!G9+'105 (10)'!G9+'105 (11)'!G9</f>
        <v>0</v>
      </c>
      <c r="H9" s="24">
        <f ca="1">'105 (5)'!H9+'105 (9)'!H9+'105 (10)'!H9+'105 (11)'!H9</f>
        <v>0</v>
      </c>
      <c r="I9" s="24">
        <f ca="1">'105 (5)'!I9+'105 (9)'!I9+'105 (10)'!I9+'105 (11)'!I9</f>
        <v>0</v>
      </c>
      <c r="J9" s="24">
        <f ca="1">'105 (5)'!J9+'105 (9)'!J9+'105 (10)'!J9+'105 (11)'!J9</f>
        <v>0</v>
      </c>
      <c r="K9" s="24">
        <f ca="1">'105 (5)'!K9+'105 (9)'!K9+'105 (10)'!K9+'105 (11)'!K9</f>
        <v>0</v>
      </c>
      <c r="L9" s="24">
        <f ca="1">'105 (5)'!L9+'105 (9)'!L9+'105 (10)'!L9+'105 (11)'!L9</f>
        <v>0</v>
      </c>
      <c r="M9" s="24">
        <f ca="1">'105 (5)'!M9+'105 (9)'!M9+'105 (10)'!M9+'105 (11)'!M9</f>
        <v>0</v>
      </c>
      <c r="N9" s="24">
        <f ca="1">'105 (5)'!N9+'105 (9)'!N9+'105 (10)'!N9+'105 (11)'!N9</f>
        <v>0</v>
      </c>
      <c r="O9" s="24">
        <f ca="1">'105 (5)'!O9+'105 (9)'!O9+'105 (10)'!O9+'105 (11)'!O9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'105 (5)'!D10+'105 (9)'!D10+'105 (10)'!D10+'105 (11)'!D10</f>
        <v>6</v>
      </c>
      <c r="E10" s="24">
        <f ca="1">'105 (5)'!E10+'105 (9)'!E10+'105 (10)'!E10+'105 (11)'!E10</f>
        <v>0</v>
      </c>
      <c r="F10" s="24">
        <f ca="1">'105 (5)'!F10+'105 (9)'!F10+'105 (10)'!F10+'105 (11)'!F10</f>
        <v>0</v>
      </c>
      <c r="G10" s="24">
        <f ca="1">'105 (5)'!G10+'105 (9)'!G10+'105 (10)'!G10+'105 (11)'!G10</f>
        <v>0</v>
      </c>
      <c r="H10" s="24">
        <f ca="1">'105 (5)'!H10+'105 (9)'!H10+'105 (10)'!H10+'105 (11)'!H10</f>
        <v>0</v>
      </c>
      <c r="I10" s="24">
        <f ca="1">'105 (5)'!I10+'105 (9)'!I10+'105 (10)'!I10+'105 (11)'!I10</f>
        <v>0</v>
      </c>
      <c r="J10" s="24">
        <f ca="1">'105 (5)'!J10+'105 (9)'!J10+'105 (10)'!J10+'105 (11)'!J10</f>
        <v>0</v>
      </c>
      <c r="K10" s="24">
        <f ca="1">'105 (5)'!K10+'105 (9)'!K10+'105 (10)'!K10+'105 (11)'!K10</f>
        <v>0</v>
      </c>
      <c r="L10" s="24">
        <f ca="1">'105 (5)'!L10+'105 (9)'!L10+'105 (10)'!L10+'105 (11)'!L10</f>
        <v>0</v>
      </c>
      <c r="M10" s="24">
        <f ca="1">'105 (5)'!M10+'105 (9)'!M10+'105 (10)'!M10+'105 (11)'!M10</f>
        <v>0</v>
      </c>
      <c r="N10" s="24">
        <f ca="1">'105 (5)'!N10+'105 (9)'!N10+'105 (10)'!N10+'105 (11)'!N10</f>
        <v>0</v>
      </c>
      <c r="O10" s="24">
        <f ca="1">'105 (5)'!O10+'105 (9)'!O10+'105 (10)'!O10+'105 (11)'!O10</f>
        <v>0</v>
      </c>
    </row>
    <row r="11" spans="1:15">
      <c r="A11" s="29"/>
      <c r="B11" s="24"/>
      <c r="C11" s="33">
        <f>Справочник!J1</f>
        <v>2019</v>
      </c>
      <c r="D11" s="24">
        <f ca="1">'105 (5)'!D11+'105 (9)'!D11+'105 (10)'!D11+'105 (11)'!D11</f>
        <v>0</v>
      </c>
      <c r="E11" s="24">
        <f ca="1">'105 (5)'!E11+'105 (9)'!E11+'105 (10)'!E11+'105 (11)'!E11</f>
        <v>0</v>
      </c>
      <c r="F11" s="24">
        <f ca="1">'105 (5)'!F11+'105 (9)'!F11+'105 (10)'!F11+'105 (11)'!F11</f>
        <v>0</v>
      </c>
      <c r="G11" s="24">
        <f ca="1">'105 (5)'!G11+'105 (9)'!G11+'105 (10)'!G11+'105 (11)'!G11</f>
        <v>0</v>
      </c>
      <c r="H11" s="24">
        <f ca="1">'105 (5)'!H11+'105 (9)'!H11+'105 (10)'!H11+'105 (11)'!H11</f>
        <v>0</v>
      </c>
      <c r="I11" s="24">
        <f ca="1">'105 (5)'!I11+'105 (9)'!I11+'105 (10)'!I11+'105 (11)'!I11</f>
        <v>0</v>
      </c>
      <c r="J11" s="24">
        <f ca="1">'105 (5)'!J11+'105 (9)'!J11+'105 (10)'!J11+'105 (11)'!J11</f>
        <v>0</v>
      </c>
      <c r="K11" s="24">
        <f ca="1">'105 (5)'!K11+'105 (9)'!K11+'105 (10)'!K11+'105 (11)'!K11</f>
        <v>0</v>
      </c>
      <c r="L11" s="24">
        <f ca="1">'105 (5)'!L11+'105 (9)'!L11+'105 (10)'!L11+'105 (11)'!L11</f>
        <v>0</v>
      </c>
      <c r="M11" s="24">
        <f ca="1">'105 (5)'!M11+'105 (9)'!M11+'105 (10)'!M11+'105 (11)'!M11</f>
        <v>0</v>
      </c>
      <c r="N11" s="24">
        <f ca="1">'105 (5)'!N11+'105 (9)'!N11+'105 (10)'!N11+'105 (11)'!N11</f>
        <v>0</v>
      </c>
      <c r="O11" s="24">
        <f ca="1">'105 (5)'!O11+'105 (9)'!O11+'105 (10)'!O11+'105 (11)'!O11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'105 (5)'!D12+'105 (9)'!D12+'105 (10)'!D12+'105 (11)'!D12</f>
        <v>1</v>
      </c>
      <c r="E12" s="24">
        <f ca="1">'105 (5)'!E12+'105 (9)'!E12+'105 (10)'!E12+'105 (11)'!E12</f>
        <v>0</v>
      </c>
      <c r="F12" s="24">
        <f ca="1">'105 (5)'!F12+'105 (9)'!F12+'105 (10)'!F12+'105 (11)'!F12</f>
        <v>0</v>
      </c>
      <c r="G12" s="24">
        <f ca="1">'105 (5)'!G12+'105 (9)'!G12+'105 (10)'!G12+'105 (11)'!G12</f>
        <v>0</v>
      </c>
      <c r="H12" s="24">
        <f ca="1">'105 (5)'!H12+'105 (9)'!H12+'105 (10)'!H12+'105 (11)'!H12</f>
        <v>0</v>
      </c>
      <c r="I12" s="24">
        <f ca="1">'105 (5)'!I12+'105 (9)'!I12+'105 (10)'!I12+'105 (11)'!I12</f>
        <v>0</v>
      </c>
      <c r="J12" s="24">
        <f ca="1">'105 (5)'!J12+'105 (9)'!J12+'105 (10)'!J12+'105 (11)'!J12</f>
        <v>0</v>
      </c>
      <c r="K12" s="24">
        <f ca="1">'105 (5)'!K12+'105 (9)'!K12+'105 (10)'!K12+'105 (11)'!K12</f>
        <v>0</v>
      </c>
      <c r="L12" s="24">
        <f ca="1">'105 (5)'!L12+'105 (9)'!L12+'105 (10)'!L12+'105 (11)'!L12</f>
        <v>0</v>
      </c>
      <c r="M12" s="24">
        <f ca="1">'105 (5)'!M12+'105 (9)'!M12+'105 (10)'!M12+'105 (11)'!M12</f>
        <v>0</v>
      </c>
      <c r="N12" s="24">
        <f ca="1">'105 (5)'!N12+'105 (9)'!N12+'105 (10)'!N12+'105 (11)'!N12</f>
        <v>0</v>
      </c>
      <c r="O12" s="24">
        <f ca="1">'105 (5)'!O12+'105 (9)'!O12+'105 (10)'!O12+'105 (11)'!O12</f>
        <v>0</v>
      </c>
    </row>
    <row r="13" spans="1:15">
      <c r="A13" s="28"/>
      <c r="B13" s="24"/>
      <c r="C13" s="33">
        <f>Справочник!J1</f>
        <v>2019</v>
      </c>
      <c r="D13" s="24">
        <f ca="1">'105 (5)'!D13+'105 (9)'!D13+'105 (10)'!D13+'105 (11)'!D13</f>
        <v>0</v>
      </c>
      <c r="E13" s="24">
        <f ca="1">'105 (5)'!E13+'105 (9)'!E13+'105 (10)'!E13+'105 (11)'!E13</f>
        <v>0</v>
      </c>
      <c r="F13" s="24">
        <f ca="1">'105 (5)'!F13+'105 (9)'!F13+'105 (10)'!F13+'105 (11)'!F13</f>
        <v>0</v>
      </c>
      <c r="G13" s="24">
        <f ca="1">'105 (5)'!G13+'105 (9)'!G13+'105 (10)'!G13+'105 (11)'!G13</f>
        <v>0</v>
      </c>
      <c r="H13" s="24">
        <f ca="1">'105 (5)'!H13+'105 (9)'!H13+'105 (10)'!H13+'105 (11)'!H13</f>
        <v>0</v>
      </c>
      <c r="I13" s="24">
        <f ca="1">'105 (5)'!I13+'105 (9)'!I13+'105 (10)'!I13+'105 (11)'!I13</f>
        <v>0</v>
      </c>
      <c r="J13" s="24">
        <f ca="1">'105 (5)'!J13+'105 (9)'!J13+'105 (10)'!J13+'105 (11)'!J13</f>
        <v>0</v>
      </c>
      <c r="K13" s="24">
        <f ca="1">'105 (5)'!K13+'105 (9)'!K13+'105 (10)'!K13+'105 (11)'!K13</f>
        <v>0</v>
      </c>
      <c r="L13" s="24">
        <f ca="1">'105 (5)'!L13+'105 (9)'!L13+'105 (10)'!L13+'105 (11)'!L13</f>
        <v>0</v>
      </c>
      <c r="M13" s="24">
        <f ca="1">'105 (5)'!M13+'105 (9)'!M13+'105 (10)'!M13+'105 (11)'!M13</f>
        <v>0</v>
      </c>
      <c r="N13" s="24">
        <f ca="1">'105 (5)'!N13+'105 (9)'!N13+'105 (10)'!N13+'105 (11)'!N13</f>
        <v>0</v>
      </c>
      <c r="O13" s="24">
        <f ca="1">'105 (5)'!O13+'105 (9)'!O13+'105 (10)'!O13+'105 (11)'!O13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'105 (5)'!D14+'105 (9)'!D14+'105 (10)'!D14+'105 (11)'!D14</f>
        <v>0</v>
      </c>
      <c r="E14" s="24">
        <f ca="1">'105 (5)'!E14+'105 (9)'!E14+'105 (10)'!E14+'105 (11)'!E14</f>
        <v>0</v>
      </c>
      <c r="F14" s="24">
        <f ca="1">'105 (5)'!F14+'105 (9)'!F14+'105 (10)'!F14+'105 (11)'!F14</f>
        <v>0</v>
      </c>
      <c r="G14" s="24">
        <f ca="1">'105 (5)'!G14+'105 (9)'!G14+'105 (10)'!G14+'105 (11)'!G14</f>
        <v>0</v>
      </c>
      <c r="H14" s="24">
        <f ca="1">'105 (5)'!H14+'105 (9)'!H14+'105 (10)'!H14+'105 (11)'!H14</f>
        <v>0</v>
      </c>
      <c r="I14" s="24">
        <f ca="1">'105 (5)'!I14+'105 (9)'!I14+'105 (10)'!I14+'105 (11)'!I14</f>
        <v>0</v>
      </c>
      <c r="J14" s="24">
        <f ca="1">'105 (5)'!J14+'105 (9)'!J14+'105 (10)'!J14+'105 (11)'!J14</f>
        <v>0</v>
      </c>
      <c r="K14" s="24">
        <f ca="1">'105 (5)'!K14+'105 (9)'!K14+'105 (10)'!K14+'105 (11)'!K14</f>
        <v>0</v>
      </c>
      <c r="L14" s="24">
        <f ca="1">'105 (5)'!L14+'105 (9)'!L14+'105 (10)'!L14+'105 (11)'!L14</f>
        <v>0</v>
      </c>
      <c r="M14" s="24">
        <f ca="1">'105 (5)'!M14+'105 (9)'!M14+'105 (10)'!M14+'105 (11)'!M14</f>
        <v>0</v>
      </c>
      <c r="N14" s="24">
        <f ca="1">'105 (5)'!N14+'105 (9)'!N14+'105 (10)'!N14+'105 (11)'!N14</f>
        <v>0</v>
      </c>
      <c r="O14" s="24">
        <f ca="1">'105 (5)'!O14+'105 (9)'!O14+'105 (10)'!O14+'105 (11)'!O14</f>
        <v>0</v>
      </c>
    </row>
    <row r="15" spans="1:15">
      <c r="A15" s="27"/>
      <c r="B15" s="24"/>
      <c r="C15" s="33">
        <f>Справочник!J1</f>
        <v>2019</v>
      </c>
      <c r="D15" s="24">
        <f ca="1">'105 (5)'!D15+'105 (9)'!D15+'105 (10)'!D15+'105 (11)'!D15</f>
        <v>0</v>
      </c>
      <c r="E15" s="24">
        <f ca="1">'105 (5)'!E15+'105 (9)'!E15+'105 (10)'!E15+'105 (11)'!E15</f>
        <v>0</v>
      </c>
      <c r="F15" s="24">
        <f ca="1">'105 (5)'!F15+'105 (9)'!F15+'105 (10)'!F15+'105 (11)'!F15</f>
        <v>0</v>
      </c>
      <c r="G15" s="24">
        <f ca="1">'105 (5)'!G15+'105 (9)'!G15+'105 (10)'!G15+'105 (11)'!G15</f>
        <v>0</v>
      </c>
      <c r="H15" s="24">
        <f ca="1">'105 (5)'!H15+'105 (9)'!H15+'105 (10)'!H15+'105 (11)'!H15</f>
        <v>0</v>
      </c>
      <c r="I15" s="24">
        <f ca="1">'105 (5)'!I15+'105 (9)'!I15+'105 (10)'!I15+'105 (11)'!I15</f>
        <v>0</v>
      </c>
      <c r="J15" s="24">
        <f ca="1">'105 (5)'!J15+'105 (9)'!J15+'105 (10)'!J15+'105 (11)'!J15</f>
        <v>0</v>
      </c>
      <c r="K15" s="24">
        <f ca="1">'105 (5)'!K15+'105 (9)'!K15+'105 (10)'!K15+'105 (11)'!K15</f>
        <v>0</v>
      </c>
      <c r="L15" s="24">
        <f ca="1">'105 (5)'!L15+'105 (9)'!L15+'105 (10)'!L15+'105 (11)'!L15</f>
        <v>0</v>
      </c>
      <c r="M15" s="24">
        <f ca="1">'105 (5)'!M15+'105 (9)'!M15+'105 (10)'!M15+'105 (11)'!M15</f>
        <v>0</v>
      </c>
      <c r="N15" s="24">
        <f ca="1">'105 (5)'!N15+'105 (9)'!N15+'105 (10)'!N15+'105 (11)'!N15</f>
        <v>0</v>
      </c>
      <c r="O15" s="24">
        <f ca="1">'105 (5)'!O15+'105 (9)'!O15+'105 (10)'!O15+'105 (11)'!O15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'105 (5)'!D16+'105 (9)'!D16+'105 (10)'!D16+'105 (11)'!D16</f>
        <v>181</v>
      </c>
      <c r="E16" s="24">
        <f ca="1">'105 (5)'!E16+'105 (9)'!E16+'105 (10)'!E16+'105 (11)'!E16</f>
        <v>0</v>
      </c>
      <c r="F16" s="24">
        <f ca="1">'105 (5)'!F16+'105 (9)'!F16+'105 (10)'!F16+'105 (11)'!F16</f>
        <v>0</v>
      </c>
      <c r="G16" s="24">
        <f ca="1">'105 (5)'!G16+'105 (9)'!G16+'105 (10)'!G16+'105 (11)'!G16</f>
        <v>0</v>
      </c>
      <c r="H16" s="24">
        <f ca="1">'105 (5)'!H16+'105 (9)'!H16+'105 (10)'!H16+'105 (11)'!H16</f>
        <v>0</v>
      </c>
      <c r="I16" s="24">
        <f ca="1">'105 (5)'!I16+'105 (9)'!I16+'105 (10)'!I16+'105 (11)'!I16</f>
        <v>0</v>
      </c>
      <c r="J16" s="24">
        <f ca="1">'105 (5)'!J16+'105 (9)'!J16+'105 (10)'!J16+'105 (11)'!J16</f>
        <v>0</v>
      </c>
      <c r="K16" s="24">
        <f ca="1">'105 (5)'!K16+'105 (9)'!K16+'105 (10)'!K16+'105 (11)'!K16</f>
        <v>0</v>
      </c>
      <c r="L16" s="24">
        <f ca="1">'105 (5)'!L16+'105 (9)'!L16+'105 (10)'!L16+'105 (11)'!L16</f>
        <v>0</v>
      </c>
      <c r="M16" s="24">
        <f ca="1">'105 (5)'!M16+'105 (9)'!M16+'105 (10)'!M16+'105 (11)'!M16</f>
        <v>0</v>
      </c>
      <c r="N16" s="24">
        <f ca="1">'105 (5)'!N16+'105 (9)'!N16+'105 (10)'!N16+'105 (11)'!N16</f>
        <v>0</v>
      </c>
      <c r="O16" s="24">
        <f ca="1">'105 (5)'!O16+'105 (9)'!O16+'105 (10)'!O16+'105 (11)'!O16</f>
        <v>0</v>
      </c>
    </row>
    <row r="17" spans="1:15">
      <c r="A17" s="25"/>
      <c r="B17" s="24"/>
      <c r="C17" s="33">
        <f>Справочник!J1</f>
        <v>2019</v>
      </c>
      <c r="D17" s="24">
        <f ca="1">'105 (5)'!D17+'105 (9)'!D17+'105 (10)'!D17+'105 (11)'!D17</f>
        <v>226</v>
      </c>
      <c r="E17" s="24">
        <f ca="1">'105 (5)'!E17+'105 (9)'!E17+'105 (10)'!E17+'105 (11)'!E17</f>
        <v>0</v>
      </c>
      <c r="F17" s="24">
        <f ca="1">'105 (5)'!F17+'105 (9)'!F17+'105 (10)'!F17+'105 (11)'!F17</f>
        <v>0</v>
      </c>
      <c r="G17" s="24">
        <f ca="1">'105 (5)'!G17+'105 (9)'!G17+'105 (10)'!G17+'105 (11)'!G17</f>
        <v>0</v>
      </c>
      <c r="H17" s="24">
        <f ca="1">'105 (5)'!H17+'105 (9)'!H17+'105 (10)'!H17+'105 (11)'!H17</f>
        <v>0</v>
      </c>
      <c r="I17" s="24">
        <f ca="1">'105 (5)'!I17+'105 (9)'!I17+'105 (10)'!I17+'105 (11)'!I17</f>
        <v>0</v>
      </c>
      <c r="J17" s="24">
        <f ca="1">'105 (5)'!J17+'105 (9)'!J17+'105 (10)'!J17+'105 (11)'!J17</f>
        <v>0</v>
      </c>
      <c r="K17" s="24">
        <f ca="1">'105 (5)'!K17+'105 (9)'!K17+'105 (10)'!K17+'105 (11)'!K17</f>
        <v>0</v>
      </c>
      <c r="L17" s="24">
        <f ca="1">'105 (5)'!L17+'105 (9)'!L17+'105 (10)'!L17+'105 (11)'!L17</f>
        <v>0</v>
      </c>
      <c r="M17" s="24">
        <f ca="1">'105 (5)'!M17+'105 (9)'!M17+'105 (10)'!M17+'105 (11)'!M17</f>
        <v>0</v>
      </c>
      <c r="N17" s="24">
        <f ca="1">'105 (5)'!N17+'105 (9)'!N17+'105 (10)'!N17+'105 (11)'!N17</f>
        <v>0</v>
      </c>
      <c r="O17" s="24">
        <f ca="1">'105 (5)'!O17+'105 (9)'!O17+'105 (10)'!O17+'105 (11)'!O17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'105 (5)'!D18+'105 (9)'!D18+'105 (10)'!D18+'105 (11)'!D18</f>
        <v>2</v>
      </c>
      <c r="E18" s="24">
        <f ca="1">'105 (5)'!E18+'105 (9)'!E18+'105 (10)'!E18+'105 (11)'!E18</f>
        <v>0</v>
      </c>
      <c r="F18" s="24">
        <f ca="1">'105 (5)'!F18+'105 (9)'!F18+'105 (10)'!F18+'105 (11)'!F18</f>
        <v>0</v>
      </c>
      <c r="G18" s="24">
        <f ca="1">'105 (5)'!G18+'105 (9)'!G18+'105 (10)'!G18+'105 (11)'!G18</f>
        <v>0</v>
      </c>
      <c r="H18" s="24">
        <f ca="1">'105 (5)'!H18+'105 (9)'!H18+'105 (10)'!H18+'105 (11)'!H18</f>
        <v>0</v>
      </c>
      <c r="I18" s="24">
        <f ca="1">'105 (5)'!I18+'105 (9)'!I18+'105 (10)'!I18+'105 (11)'!I18</f>
        <v>0</v>
      </c>
      <c r="J18" s="24">
        <f ca="1">'105 (5)'!J18+'105 (9)'!J18+'105 (10)'!J18+'105 (11)'!J18</f>
        <v>0</v>
      </c>
      <c r="K18" s="24">
        <f ca="1">'105 (5)'!K18+'105 (9)'!K18+'105 (10)'!K18+'105 (11)'!K18</f>
        <v>0</v>
      </c>
      <c r="L18" s="24">
        <f ca="1">'105 (5)'!L18+'105 (9)'!L18+'105 (10)'!L18+'105 (11)'!L18</f>
        <v>0</v>
      </c>
      <c r="M18" s="24">
        <f ca="1">'105 (5)'!M18+'105 (9)'!M18+'105 (10)'!M18+'105 (11)'!M18</f>
        <v>0</v>
      </c>
      <c r="N18" s="24">
        <f ca="1">'105 (5)'!N18+'105 (9)'!N18+'105 (10)'!N18+'105 (11)'!N18</f>
        <v>0</v>
      </c>
      <c r="O18" s="24">
        <f ca="1">'105 (5)'!O18+'105 (9)'!O18+'105 (10)'!O18+'105 (11)'!O18</f>
        <v>0</v>
      </c>
    </row>
    <row r="19" spans="1:15">
      <c r="A19" s="27"/>
      <c r="B19" s="24"/>
      <c r="C19" s="33">
        <f>Справочник!J1</f>
        <v>2019</v>
      </c>
      <c r="D19" s="24">
        <f ca="1">'105 (5)'!D19+'105 (9)'!D19+'105 (10)'!D19+'105 (11)'!D19</f>
        <v>5</v>
      </c>
      <c r="E19" s="24">
        <f ca="1">'105 (5)'!E19+'105 (9)'!E19+'105 (10)'!E19+'105 (11)'!E19</f>
        <v>0</v>
      </c>
      <c r="F19" s="24">
        <f ca="1">'105 (5)'!F19+'105 (9)'!F19+'105 (10)'!F19+'105 (11)'!F19</f>
        <v>0</v>
      </c>
      <c r="G19" s="24">
        <f ca="1">'105 (5)'!G19+'105 (9)'!G19+'105 (10)'!G19+'105 (11)'!G19</f>
        <v>0</v>
      </c>
      <c r="H19" s="24">
        <f ca="1">'105 (5)'!H19+'105 (9)'!H19+'105 (10)'!H19+'105 (11)'!H19</f>
        <v>0</v>
      </c>
      <c r="I19" s="24">
        <f ca="1">'105 (5)'!I19+'105 (9)'!I19+'105 (10)'!I19+'105 (11)'!I19</f>
        <v>0</v>
      </c>
      <c r="J19" s="24">
        <f ca="1">'105 (5)'!J19+'105 (9)'!J19+'105 (10)'!J19+'105 (11)'!J19</f>
        <v>0</v>
      </c>
      <c r="K19" s="24">
        <f ca="1">'105 (5)'!K19+'105 (9)'!K19+'105 (10)'!K19+'105 (11)'!K19</f>
        <v>0</v>
      </c>
      <c r="L19" s="24">
        <f ca="1">'105 (5)'!L19+'105 (9)'!L19+'105 (10)'!L19+'105 (11)'!L19</f>
        <v>0</v>
      </c>
      <c r="M19" s="24">
        <f ca="1">'105 (5)'!M19+'105 (9)'!M19+'105 (10)'!M19+'105 (11)'!M19</f>
        <v>0</v>
      </c>
      <c r="N19" s="24">
        <f ca="1">'105 (5)'!N19+'105 (9)'!N19+'105 (10)'!N19+'105 (11)'!N19</f>
        <v>0</v>
      </c>
      <c r="O19" s="24">
        <f ca="1">'105 (5)'!O19+'105 (9)'!O19+'105 (10)'!O19+'105 (11)'!O19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'105 (5)'!D20+'105 (9)'!D20+'105 (10)'!D20+'105 (11)'!D20</f>
        <v>16</v>
      </c>
      <c r="E20" s="24">
        <f ca="1">'105 (5)'!E20+'105 (9)'!E20+'105 (10)'!E20+'105 (11)'!E20</f>
        <v>0</v>
      </c>
      <c r="F20" s="24">
        <f ca="1">'105 (5)'!F20+'105 (9)'!F20+'105 (10)'!F20+'105 (11)'!F20</f>
        <v>0</v>
      </c>
      <c r="G20" s="24">
        <f ca="1">'105 (5)'!G20+'105 (9)'!G20+'105 (10)'!G20+'105 (11)'!G20</f>
        <v>0</v>
      </c>
      <c r="H20" s="24">
        <f ca="1">'105 (5)'!H20+'105 (9)'!H20+'105 (10)'!H20+'105 (11)'!H20</f>
        <v>0</v>
      </c>
      <c r="I20" s="24">
        <f ca="1">'105 (5)'!I20+'105 (9)'!I20+'105 (10)'!I20+'105 (11)'!I20</f>
        <v>0</v>
      </c>
      <c r="J20" s="24">
        <f ca="1">'105 (5)'!J20+'105 (9)'!J20+'105 (10)'!J20+'105 (11)'!J20</f>
        <v>0</v>
      </c>
      <c r="K20" s="24">
        <f ca="1">'105 (5)'!K20+'105 (9)'!K20+'105 (10)'!K20+'105 (11)'!K20</f>
        <v>0</v>
      </c>
      <c r="L20" s="24">
        <f ca="1">'105 (5)'!L20+'105 (9)'!L20+'105 (10)'!L20+'105 (11)'!L20</f>
        <v>0</v>
      </c>
      <c r="M20" s="24">
        <f ca="1">'105 (5)'!M20+'105 (9)'!M20+'105 (10)'!M20+'105 (11)'!M20</f>
        <v>0</v>
      </c>
      <c r="N20" s="24">
        <f ca="1">'105 (5)'!N20+'105 (9)'!N20+'105 (10)'!N20+'105 (11)'!N20</f>
        <v>0</v>
      </c>
      <c r="O20" s="24">
        <f ca="1">'105 (5)'!O20+'105 (9)'!O20+'105 (10)'!O20+'105 (11)'!O20</f>
        <v>0</v>
      </c>
    </row>
    <row r="21" spans="1:15">
      <c r="A21" s="25"/>
      <c r="B21" s="24"/>
      <c r="C21" s="33">
        <f>Справочник!J1</f>
        <v>2019</v>
      </c>
      <c r="D21" s="24">
        <f ca="1">'105 (5)'!D21+'105 (9)'!D21+'105 (10)'!D21+'105 (11)'!D21</f>
        <v>22</v>
      </c>
      <c r="E21" s="24">
        <f ca="1">'105 (5)'!E21+'105 (9)'!E21+'105 (10)'!E21+'105 (11)'!E21</f>
        <v>0</v>
      </c>
      <c r="F21" s="24">
        <f ca="1">'105 (5)'!F21+'105 (9)'!F21+'105 (10)'!F21+'105 (11)'!F21</f>
        <v>0</v>
      </c>
      <c r="G21" s="24">
        <f ca="1">'105 (5)'!G21+'105 (9)'!G21+'105 (10)'!G21+'105 (11)'!G21</f>
        <v>0</v>
      </c>
      <c r="H21" s="24">
        <f ca="1">'105 (5)'!H21+'105 (9)'!H21+'105 (10)'!H21+'105 (11)'!H21</f>
        <v>0</v>
      </c>
      <c r="I21" s="24">
        <f ca="1">'105 (5)'!I21+'105 (9)'!I21+'105 (10)'!I21+'105 (11)'!I21</f>
        <v>0</v>
      </c>
      <c r="J21" s="24">
        <f ca="1">'105 (5)'!J21+'105 (9)'!J21+'105 (10)'!J21+'105 (11)'!J21</f>
        <v>0</v>
      </c>
      <c r="K21" s="24">
        <f ca="1">'105 (5)'!K21+'105 (9)'!K21+'105 (10)'!K21+'105 (11)'!K21</f>
        <v>0</v>
      </c>
      <c r="L21" s="24">
        <f ca="1">'105 (5)'!L21+'105 (9)'!L21+'105 (10)'!L21+'105 (11)'!L21</f>
        <v>0</v>
      </c>
      <c r="M21" s="24">
        <f ca="1">'105 (5)'!M21+'105 (9)'!M21+'105 (10)'!M21+'105 (11)'!M21</f>
        <v>0</v>
      </c>
      <c r="N21" s="24">
        <f ca="1">'105 (5)'!N21+'105 (9)'!N21+'105 (10)'!N21+'105 (11)'!N21</f>
        <v>0</v>
      </c>
      <c r="O21" s="24">
        <f ca="1">'105 (5)'!O21+'105 (9)'!O21+'105 (10)'!O21+'105 (11)'!O21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'105 (5)'!D22+'105 (9)'!D22+'105 (10)'!D22+'105 (11)'!D22</f>
        <v>1</v>
      </c>
      <c r="E22" s="24">
        <f ca="1">'105 (5)'!E22+'105 (9)'!E22+'105 (10)'!E22+'105 (11)'!E22</f>
        <v>0</v>
      </c>
      <c r="F22" s="24">
        <f ca="1">'105 (5)'!F22+'105 (9)'!F22+'105 (10)'!F22+'105 (11)'!F22</f>
        <v>0</v>
      </c>
      <c r="G22" s="24">
        <f ca="1">'105 (5)'!G22+'105 (9)'!G22+'105 (10)'!G22+'105 (11)'!G22</f>
        <v>0</v>
      </c>
      <c r="H22" s="24">
        <f ca="1">'105 (5)'!H22+'105 (9)'!H22+'105 (10)'!H22+'105 (11)'!H22</f>
        <v>0</v>
      </c>
      <c r="I22" s="24">
        <f ca="1">'105 (5)'!I22+'105 (9)'!I22+'105 (10)'!I22+'105 (11)'!I22</f>
        <v>0</v>
      </c>
      <c r="J22" s="24">
        <f ca="1">'105 (5)'!J22+'105 (9)'!J22+'105 (10)'!J22+'105 (11)'!J22</f>
        <v>0</v>
      </c>
      <c r="K22" s="24">
        <f ca="1">'105 (5)'!K22+'105 (9)'!K22+'105 (10)'!K22+'105 (11)'!K22</f>
        <v>0</v>
      </c>
      <c r="L22" s="24">
        <f ca="1">'105 (5)'!L22+'105 (9)'!L22+'105 (10)'!L22+'105 (11)'!L22</f>
        <v>0</v>
      </c>
      <c r="M22" s="24">
        <f ca="1">'105 (5)'!M22+'105 (9)'!M22+'105 (10)'!M22+'105 (11)'!M22</f>
        <v>0</v>
      </c>
      <c r="N22" s="24">
        <f ca="1">'105 (5)'!N22+'105 (9)'!N22+'105 (10)'!N22+'105 (11)'!N22</f>
        <v>0</v>
      </c>
      <c r="O22" s="24">
        <f ca="1">'105 (5)'!O22+'105 (9)'!O22+'105 (10)'!O22+'105 (11)'!O22</f>
        <v>0</v>
      </c>
    </row>
    <row r="23" spans="1:15">
      <c r="A23" s="27"/>
      <c r="B23" s="24"/>
      <c r="C23" s="33">
        <f>Справочник!J1</f>
        <v>2019</v>
      </c>
      <c r="D23" s="24">
        <f ca="1">'105 (5)'!D23+'105 (9)'!D23+'105 (10)'!D23+'105 (11)'!D23</f>
        <v>2</v>
      </c>
      <c r="E23" s="24">
        <f ca="1">'105 (5)'!E23+'105 (9)'!E23+'105 (10)'!E23+'105 (11)'!E23</f>
        <v>0</v>
      </c>
      <c r="F23" s="24">
        <f ca="1">'105 (5)'!F23+'105 (9)'!F23+'105 (10)'!F23+'105 (11)'!F23</f>
        <v>0</v>
      </c>
      <c r="G23" s="24">
        <f ca="1">'105 (5)'!G23+'105 (9)'!G23+'105 (10)'!G23+'105 (11)'!G23</f>
        <v>0</v>
      </c>
      <c r="H23" s="24">
        <f ca="1">'105 (5)'!H23+'105 (9)'!H23+'105 (10)'!H23+'105 (11)'!H23</f>
        <v>0</v>
      </c>
      <c r="I23" s="24">
        <f ca="1">'105 (5)'!I23+'105 (9)'!I23+'105 (10)'!I23+'105 (11)'!I23</f>
        <v>0</v>
      </c>
      <c r="J23" s="24">
        <f ca="1">'105 (5)'!J23+'105 (9)'!J23+'105 (10)'!J23+'105 (11)'!J23</f>
        <v>0</v>
      </c>
      <c r="K23" s="24">
        <f ca="1">'105 (5)'!K23+'105 (9)'!K23+'105 (10)'!K23+'105 (11)'!K23</f>
        <v>0</v>
      </c>
      <c r="L23" s="24">
        <f ca="1">'105 (5)'!L23+'105 (9)'!L23+'105 (10)'!L23+'105 (11)'!L23</f>
        <v>0</v>
      </c>
      <c r="M23" s="24">
        <f ca="1">'105 (5)'!M23+'105 (9)'!M23+'105 (10)'!M23+'105 (11)'!M23</f>
        <v>0</v>
      </c>
      <c r="N23" s="24">
        <f ca="1">'105 (5)'!N23+'105 (9)'!N23+'105 (10)'!N23+'105 (11)'!N23</f>
        <v>0</v>
      </c>
      <c r="O23" s="24">
        <f ca="1">'105 (5)'!O23+'105 (9)'!O23+'105 (10)'!O23+'105 (11)'!O23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'105 (5)'!D24+'105 (9)'!D24+'105 (10)'!D24+'105 (11)'!D24</f>
        <v>0</v>
      </c>
      <c r="E24" s="24">
        <f ca="1">'105 (5)'!E24+'105 (9)'!E24+'105 (10)'!E24+'105 (11)'!E24</f>
        <v>0</v>
      </c>
      <c r="F24" s="24">
        <f ca="1">'105 (5)'!F24+'105 (9)'!F24+'105 (10)'!F24+'105 (11)'!F24</f>
        <v>0</v>
      </c>
      <c r="G24" s="24">
        <f ca="1">'105 (5)'!G24+'105 (9)'!G24+'105 (10)'!G24+'105 (11)'!G24</f>
        <v>0</v>
      </c>
      <c r="H24" s="24">
        <f ca="1">'105 (5)'!H24+'105 (9)'!H24+'105 (10)'!H24+'105 (11)'!H24</f>
        <v>0</v>
      </c>
      <c r="I24" s="24">
        <f ca="1">'105 (5)'!I24+'105 (9)'!I24+'105 (10)'!I24+'105 (11)'!I24</f>
        <v>0</v>
      </c>
      <c r="J24" s="24">
        <f ca="1">'105 (5)'!J24+'105 (9)'!J24+'105 (10)'!J24+'105 (11)'!J24</f>
        <v>0</v>
      </c>
      <c r="K24" s="24">
        <f ca="1">'105 (5)'!K24+'105 (9)'!K24+'105 (10)'!K24+'105 (11)'!K24</f>
        <v>0</v>
      </c>
      <c r="L24" s="24">
        <f ca="1">'105 (5)'!L24+'105 (9)'!L24+'105 (10)'!L24+'105 (11)'!L24</f>
        <v>0</v>
      </c>
      <c r="M24" s="24">
        <f ca="1">'105 (5)'!M24+'105 (9)'!M24+'105 (10)'!M24+'105 (11)'!M24</f>
        <v>0</v>
      </c>
      <c r="N24" s="24">
        <f ca="1">'105 (5)'!N24+'105 (9)'!N24+'105 (10)'!N24+'105 (11)'!N24</f>
        <v>0</v>
      </c>
      <c r="O24" s="24">
        <f ca="1">'105 (5)'!O24+'105 (9)'!O24+'105 (10)'!O24+'105 (11)'!O24</f>
        <v>0</v>
      </c>
    </row>
    <row r="25" spans="1:15">
      <c r="A25" s="25"/>
      <c r="B25" s="24"/>
      <c r="C25" s="33">
        <f>Справочник!J1</f>
        <v>2019</v>
      </c>
      <c r="D25" s="24">
        <f ca="1">'105 (5)'!D25+'105 (9)'!D25+'105 (10)'!D25+'105 (11)'!D25</f>
        <v>0</v>
      </c>
      <c r="E25" s="24">
        <f ca="1">'105 (5)'!E25+'105 (9)'!E25+'105 (10)'!E25+'105 (11)'!E25</f>
        <v>0</v>
      </c>
      <c r="F25" s="24">
        <f ca="1">'105 (5)'!F25+'105 (9)'!F25+'105 (10)'!F25+'105 (11)'!F25</f>
        <v>0</v>
      </c>
      <c r="G25" s="24">
        <f ca="1">'105 (5)'!G25+'105 (9)'!G25+'105 (10)'!G25+'105 (11)'!G25</f>
        <v>0</v>
      </c>
      <c r="H25" s="24">
        <f ca="1">'105 (5)'!H25+'105 (9)'!H25+'105 (10)'!H25+'105 (11)'!H25</f>
        <v>0</v>
      </c>
      <c r="I25" s="24">
        <f ca="1">'105 (5)'!I25+'105 (9)'!I25+'105 (10)'!I25+'105 (11)'!I25</f>
        <v>0</v>
      </c>
      <c r="J25" s="24">
        <f ca="1">'105 (5)'!J25+'105 (9)'!J25+'105 (10)'!J25+'105 (11)'!J25</f>
        <v>0</v>
      </c>
      <c r="K25" s="24">
        <f ca="1">'105 (5)'!K25+'105 (9)'!K25+'105 (10)'!K25+'105 (11)'!K25</f>
        <v>0</v>
      </c>
      <c r="L25" s="24">
        <f ca="1">'105 (5)'!L25+'105 (9)'!L25+'105 (10)'!L25+'105 (11)'!L25</f>
        <v>0</v>
      </c>
      <c r="M25" s="24">
        <f ca="1">'105 (5)'!M25+'105 (9)'!M25+'105 (10)'!M25+'105 (11)'!M25</f>
        <v>0</v>
      </c>
      <c r="N25" s="24">
        <f ca="1">'105 (5)'!N25+'105 (9)'!N25+'105 (10)'!N25+'105 (11)'!N25</f>
        <v>0</v>
      </c>
      <c r="O25" s="24">
        <f ca="1">'105 (5)'!O25+'105 (9)'!O25+'105 (10)'!O25+'105 (11)'!O25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'105 (5)'!D26+'105 (9)'!D26+'105 (10)'!D26+'105 (11)'!D26</f>
        <v>0</v>
      </c>
      <c r="E26" s="24">
        <f ca="1">'105 (5)'!E26+'105 (9)'!E26+'105 (10)'!E26+'105 (11)'!E26</f>
        <v>0</v>
      </c>
      <c r="F26" s="24">
        <f ca="1">'105 (5)'!F26+'105 (9)'!F26+'105 (10)'!F26+'105 (11)'!F26</f>
        <v>0</v>
      </c>
      <c r="G26" s="24">
        <f ca="1">'105 (5)'!G26+'105 (9)'!G26+'105 (10)'!G26+'105 (11)'!G26</f>
        <v>0</v>
      </c>
      <c r="H26" s="24">
        <f ca="1">'105 (5)'!H26+'105 (9)'!H26+'105 (10)'!H26+'105 (11)'!H26</f>
        <v>0</v>
      </c>
      <c r="I26" s="24">
        <f ca="1">'105 (5)'!I26+'105 (9)'!I26+'105 (10)'!I26+'105 (11)'!I26</f>
        <v>0</v>
      </c>
      <c r="J26" s="24">
        <f ca="1">'105 (5)'!J26+'105 (9)'!J26+'105 (10)'!J26+'105 (11)'!J26</f>
        <v>0</v>
      </c>
      <c r="K26" s="24">
        <f ca="1">'105 (5)'!K26+'105 (9)'!K26+'105 (10)'!K26+'105 (11)'!K26</f>
        <v>0</v>
      </c>
      <c r="L26" s="24">
        <f ca="1">'105 (5)'!L26+'105 (9)'!L26+'105 (10)'!L26+'105 (11)'!L26</f>
        <v>0</v>
      </c>
      <c r="M26" s="24">
        <f ca="1">'105 (5)'!M26+'105 (9)'!M26+'105 (10)'!M26+'105 (11)'!M26</f>
        <v>0</v>
      </c>
      <c r="N26" s="24">
        <f ca="1">'105 (5)'!N26+'105 (9)'!N26+'105 (10)'!N26+'105 (11)'!N26</f>
        <v>0</v>
      </c>
      <c r="O26" s="24">
        <f ca="1">'105 (5)'!O26+'105 (9)'!O26+'105 (10)'!O26+'105 (11)'!O26</f>
        <v>0</v>
      </c>
    </row>
    <row r="27" spans="1:15">
      <c r="A27" s="29"/>
      <c r="B27" s="24"/>
      <c r="C27" s="33">
        <f>Справочник!J1</f>
        <v>2019</v>
      </c>
      <c r="D27" s="24">
        <f ca="1">'105 (5)'!D27+'105 (9)'!D27+'105 (10)'!D27+'105 (11)'!D27</f>
        <v>0</v>
      </c>
      <c r="E27" s="24">
        <f ca="1">'105 (5)'!E27+'105 (9)'!E27+'105 (10)'!E27+'105 (11)'!E27</f>
        <v>0</v>
      </c>
      <c r="F27" s="24">
        <f ca="1">'105 (5)'!F27+'105 (9)'!F27+'105 (10)'!F27+'105 (11)'!F27</f>
        <v>0</v>
      </c>
      <c r="G27" s="24">
        <f ca="1">'105 (5)'!G27+'105 (9)'!G27+'105 (10)'!G27+'105 (11)'!G27</f>
        <v>0</v>
      </c>
      <c r="H27" s="24">
        <f ca="1">'105 (5)'!H27+'105 (9)'!H27+'105 (10)'!H27+'105 (11)'!H27</f>
        <v>0</v>
      </c>
      <c r="I27" s="24">
        <f ca="1">'105 (5)'!I27+'105 (9)'!I27+'105 (10)'!I27+'105 (11)'!I27</f>
        <v>0</v>
      </c>
      <c r="J27" s="24">
        <f ca="1">'105 (5)'!J27+'105 (9)'!J27+'105 (10)'!J27+'105 (11)'!J27</f>
        <v>0</v>
      </c>
      <c r="K27" s="24">
        <f ca="1">'105 (5)'!K27+'105 (9)'!K27+'105 (10)'!K27+'105 (11)'!K27</f>
        <v>0</v>
      </c>
      <c r="L27" s="24">
        <f ca="1">'105 (5)'!L27+'105 (9)'!L27+'105 (10)'!L27+'105 (11)'!L27</f>
        <v>0</v>
      </c>
      <c r="M27" s="24">
        <f ca="1">'105 (5)'!M27+'105 (9)'!M27+'105 (10)'!M27+'105 (11)'!M27</f>
        <v>0</v>
      </c>
      <c r="N27" s="24">
        <f ca="1">'105 (5)'!N27+'105 (9)'!N27+'105 (10)'!N27+'105 (11)'!N27</f>
        <v>0</v>
      </c>
      <c r="O27" s="24">
        <f ca="1">'105 (5)'!O27+'105 (9)'!O27+'105 (10)'!O27+'105 (11)'!O27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'105 (5)'!D28+'105 (9)'!D28+'105 (10)'!D28+'105 (11)'!D28</f>
        <v>47</v>
      </c>
      <c r="E28" s="24">
        <f ca="1">'105 (5)'!E28+'105 (9)'!E28+'105 (10)'!E28+'105 (11)'!E28</f>
        <v>0</v>
      </c>
      <c r="F28" s="24">
        <f ca="1">'105 (5)'!F28+'105 (9)'!F28+'105 (10)'!F28+'105 (11)'!F28</f>
        <v>0</v>
      </c>
      <c r="G28" s="24">
        <f ca="1">'105 (5)'!G28+'105 (9)'!G28+'105 (10)'!G28+'105 (11)'!G28</f>
        <v>0</v>
      </c>
      <c r="H28" s="24">
        <f ca="1">'105 (5)'!H28+'105 (9)'!H28+'105 (10)'!H28+'105 (11)'!H28</f>
        <v>0</v>
      </c>
      <c r="I28" s="24">
        <f ca="1">'105 (5)'!I28+'105 (9)'!I28+'105 (10)'!I28+'105 (11)'!I28</f>
        <v>0</v>
      </c>
      <c r="J28" s="24">
        <f ca="1">'105 (5)'!J28+'105 (9)'!J28+'105 (10)'!J28+'105 (11)'!J28</f>
        <v>0</v>
      </c>
      <c r="K28" s="24">
        <f ca="1">'105 (5)'!K28+'105 (9)'!K28+'105 (10)'!K28+'105 (11)'!K28</f>
        <v>0</v>
      </c>
      <c r="L28" s="24">
        <f ca="1">'105 (5)'!L28+'105 (9)'!L28+'105 (10)'!L28+'105 (11)'!L28</f>
        <v>0</v>
      </c>
      <c r="M28" s="24">
        <f ca="1">'105 (5)'!M28+'105 (9)'!M28+'105 (10)'!M28+'105 (11)'!M28</f>
        <v>0</v>
      </c>
      <c r="N28" s="24">
        <f ca="1">'105 (5)'!N28+'105 (9)'!N28+'105 (10)'!N28+'105 (11)'!N28</f>
        <v>0</v>
      </c>
      <c r="O28" s="24">
        <f ca="1">'105 (5)'!O28+'105 (9)'!O28+'105 (10)'!O28+'105 (11)'!O28</f>
        <v>0</v>
      </c>
    </row>
    <row r="29" spans="1:15">
      <c r="A29" s="28"/>
      <c r="B29" s="24"/>
      <c r="C29" s="33">
        <f>Справочник!J1</f>
        <v>2019</v>
      </c>
      <c r="D29" s="24">
        <f ca="1">'105 (5)'!D29+'105 (9)'!D29+'105 (10)'!D29+'105 (11)'!D29</f>
        <v>49</v>
      </c>
      <c r="E29" s="24">
        <f ca="1">'105 (5)'!E29+'105 (9)'!E29+'105 (10)'!E29+'105 (11)'!E29</f>
        <v>0</v>
      </c>
      <c r="F29" s="24">
        <f ca="1">'105 (5)'!F29+'105 (9)'!F29+'105 (10)'!F29+'105 (11)'!F29</f>
        <v>0</v>
      </c>
      <c r="G29" s="24">
        <f ca="1">'105 (5)'!G29+'105 (9)'!G29+'105 (10)'!G29+'105 (11)'!G29</f>
        <v>0</v>
      </c>
      <c r="H29" s="24">
        <f ca="1">'105 (5)'!H29+'105 (9)'!H29+'105 (10)'!H29+'105 (11)'!H29</f>
        <v>0</v>
      </c>
      <c r="I29" s="24">
        <f ca="1">'105 (5)'!I29+'105 (9)'!I29+'105 (10)'!I29+'105 (11)'!I29</f>
        <v>0</v>
      </c>
      <c r="J29" s="24">
        <f ca="1">'105 (5)'!J29+'105 (9)'!J29+'105 (10)'!J29+'105 (11)'!J29</f>
        <v>0</v>
      </c>
      <c r="K29" s="24">
        <f ca="1">'105 (5)'!K29+'105 (9)'!K29+'105 (10)'!K29+'105 (11)'!K29</f>
        <v>0</v>
      </c>
      <c r="L29" s="24">
        <f ca="1">'105 (5)'!L29+'105 (9)'!L29+'105 (10)'!L29+'105 (11)'!L29</f>
        <v>0</v>
      </c>
      <c r="M29" s="24">
        <f ca="1">'105 (5)'!M29+'105 (9)'!M29+'105 (10)'!M29+'105 (11)'!M29</f>
        <v>0</v>
      </c>
      <c r="N29" s="24">
        <f ca="1">'105 (5)'!N29+'105 (9)'!N29+'105 (10)'!N29+'105 (11)'!N29</f>
        <v>0</v>
      </c>
      <c r="O29" s="24">
        <f ca="1">'105 (5)'!O29+'105 (9)'!O29+'105 (10)'!O29+'105 (11)'!O29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'105 (5)'!D30+'105 (9)'!D30+'105 (10)'!D30+'105 (11)'!D30</f>
        <v>2</v>
      </c>
      <c r="E30" s="24">
        <f ca="1">'105 (5)'!E30+'105 (9)'!E30+'105 (10)'!E30+'105 (11)'!E30</f>
        <v>0</v>
      </c>
      <c r="F30" s="24">
        <f ca="1">'105 (5)'!F30+'105 (9)'!F30+'105 (10)'!F30+'105 (11)'!F30</f>
        <v>0</v>
      </c>
      <c r="G30" s="24">
        <f ca="1">'105 (5)'!G30+'105 (9)'!G30+'105 (10)'!G30+'105 (11)'!G30</f>
        <v>0</v>
      </c>
      <c r="H30" s="24">
        <f ca="1">'105 (5)'!H30+'105 (9)'!H30+'105 (10)'!H30+'105 (11)'!H30</f>
        <v>0</v>
      </c>
      <c r="I30" s="24">
        <f ca="1">'105 (5)'!I30+'105 (9)'!I30+'105 (10)'!I30+'105 (11)'!I30</f>
        <v>0</v>
      </c>
      <c r="J30" s="24">
        <f ca="1">'105 (5)'!J30+'105 (9)'!J30+'105 (10)'!J30+'105 (11)'!J30</f>
        <v>0</v>
      </c>
      <c r="K30" s="24">
        <f ca="1">'105 (5)'!K30+'105 (9)'!K30+'105 (10)'!K30+'105 (11)'!K30</f>
        <v>0</v>
      </c>
      <c r="L30" s="24">
        <f ca="1">'105 (5)'!L30+'105 (9)'!L30+'105 (10)'!L30+'105 (11)'!L30</f>
        <v>0</v>
      </c>
      <c r="M30" s="24">
        <f ca="1">'105 (5)'!M30+'105 (9)'!M30+'105 (10)'!M30+'105 (11)'!M30</f>
        <v>0</v>
      </c>
      <c r="N30" s="24">
        <f ca="1">'105 (5)'!N30+'105 (9)'!N30+'105 (10)'!N30+'105 (11)'!N30</f>
        <v>0</v>
      </c>
      <c r="O30" s="24">
        <f ca="1">'105 (5)'!O30+'105 (9)'!O30+'105 (10)'!O30+'105 (11)'!O30</f>
        <v>0</v>
      </c>
    </row>
    <row r="31" spans="1:15">
      <c r="A31" s="27"/>
      <c r="B31" s="24"/>
      <c r="C31" s="33">
        <f>Справочник!J1</f>
        <v>2019</v>
      </c>
      <c r="D31" s="24">
        <f ca="1">'105 (5)'!D31+'105 (9)'!D31+'105 (10)'!D31+'105 (11)'!D31</f>
        <v>2</v>
      </c>
      <c r="E31" s="24">
        <f ca="1">'105 (5)'!E31+'105 (9)'!E31+'105 (10)'!E31+'105 (11)'!E31</f>
        <v>0</v>
      </c>
      <c r="F31" s="24">
        <f ca="1">'105 (5)'!F31+'105 (9)'!F31+'105 (10)'!F31+'105 (11)'!F31</f>
        <v>0</v>
      </c>
      <c r="G31" s="24">
        <f ca="1">'105 (5)'!G31+'105 (9)'!G31+'105 (10)'!G31+'105 (11)'!G31</f>
        <v>0</v>
      </c>
      <c r="H31" s="24">
        <f ca="1">'105 (5)'!H31+'105 (9)'!H31+'105 (10)'!H31+'105 (11)'!H31</f>
        <v>0</v>
      </c>
      <c r="I31" s="24">
        <f ca="1">'105 (5)'!I31+'105 (9)'!I31+'105 (10)'!I31+'105 (11)'!I31</f>
        <v>0</v>
      </c>
      <c r="J31" s="24">
        <f ca="1">'105 (5)'!J31+'105 (9)'!J31+'105 (10)'!J31+'105 (11)'!J31</f>
        <v>0</v>
      </c>
      <c r="K31" s="24">
        <f ca="1">'105 (5)'!K31+'105 (9)'!K31+'105 (10)'!K31+'105 (11)'!K31</f>
        <v>0</v>
      </c>
      <c r="L31" s="24">
        <f ca="1">'105 (5)'!L31+'105 (9)'!L31+'105 (10)'!L31+'105 (11)'!L31</f>
        <v>0</v>
      </c>
      <c r="M31" s="24">
        <f ca="1">'105 (5)'!M31+'105 (9)'!M31+'105 (10)'!M31+'105 (11)'!M31</f>
        <v>0</v>
      </c>
      <c r="N31" s="24">
        <f ca="1">'105 (5)'!N31+'105 (9)'!N31+'105 (10)'!N31+'105 (11)'!N31</f>
        <v>0</v>
      </c>
      <c r="O31" s="24">
        <f ca="1">'105 (5)'!O31+'105 (9)'!O31+'105 (10)'!O31+'105 (11)'!O31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'105 (5)'!D32+'105 (9)'!D32+'105 (10)'!D32+'105 (11)'!D32</f>
        <v>0</v>
      </c>
      <c r="E32" s="24">
        <f ca="1">'105 (5)'!E32+'105 (9)'!E32+'105 (10)'!E32+'105 (11)'!E32</f>
        <v>0</v>
      </c>
      <c r="F32" s="24">
        <f ca="1">'105 (5)'!F32+'105 (9)'!F32+'105 (10)'!F32+'105 (11)'!F32</f>
        <v>0</v>
      </c>
      <c r="G32" s="24">
        <f ca="1">'105 (5)'!G32+'105 (9)'!G32+'105 (10)'!G32+'105 (11)'!G32</f>
        <v>0</v>
      </c>
      <c r="H32" s="24">
        <f ca="1">'105 (5)'!H32+'105 (9)'!H32+'105 (10)'!H32+'105 (11)'!H32</f>
        <v>0</v>
      </c>
      <c r="I32" s="24">
        <f ca="1">'105 (5)'!I32+'105 (9)'!I32+'105 (10)'!I32+'105 (11)'!I32</f>
        <v>0</v>
      </c>
      <c r="J32" s="24">
        <f ca="1">'105 (5)'!J32+'105 (9)'!J32+'105 (10)'!J32+'105 (11)'!J32</f>
        <v>0</v>
      </c>
      <c r="K32" s="24">
        <f ca="1">'105 (5)'!K32+'105 (9)'!K32+'105 (10)'!K32+'105 (11)'!K32</f>
        <v>0</v>
      </c>
      <c r="L32" s="24">
        <f ca="1">'105 (5)'!L32+'105 (9)'!L32+'105 (10)'!L32+'105 (11)'!L32</f>
        <v>0</v>
      </c>
      <c r="M32" s="24">
        <f ca="1">'105 (5)'!M32+'105 (9)'!M32+'105 (10)'!M32+'105 (11)'!M32</f>
        <v>0</v>
      </c>
      <c r="N32" s="24">
        <f ca="1">'105 (5)'!N32+'105 (9)'!N32+'105 (10)'!N32+'105 (11)'!N32</f>
        <v>0</v>
      </c>
      <c r="O32" s="24">
        <f ca="1">'105 (5)'!O32+'105 (9)'!O32+'105 (10)'!O32+'105 (11)'!O32</f>
        <v>0</v>
      </c>
    </row>
    <row r="33" spans="1:15">
      <c r="A33" s="25"/>
      <c r="B33" s="24"/>
      <c r="C33" s="33">
        <f>Справочник!J1</f>
        <v>2019</v>
      </c>
      <c r="D33" s="24">
        <f ca="1">'105 (5)'!D33+'105 (9)'!D33+'105 (10)'!D33+'105 (11)'!D33</f>
        <v>1</v>
      </c>
      <c r="E33" s="24">
        <f ca="1">'105 (5)'!E33+'105 (9)'!E33+'105 (10)'!E33+'105 (11)'!E33</f>
        <v>0</v>
      </c>
      <c r="F33" s="24">
        <f ca="1">'105 (5)'!F33+'105 (9)'!F33+'105 (10)'!F33+'105 (11)'!F33</f>
        <v>0</v>
      </c>
      <c r="G33" s="24">
        <f ca="1">'105 (5)'!G33+'105 (9)'!G33+'105 (10)'!G33+'105 (11)'!G33</f>
        <v>0</v>
      </c>
      <c r="H33" s="24">
        <f ca="1">'105 (5)'!H33+'105 (9)'!H33+'105 (10)'!H33+'105 (11)'!H33</f>
        <v>0</v>
      </c>
      <c r="I33" s="24">
        <f ca="1">'105 (5)'!I33+'105 (9)'!I33+'105 (10)'!I33+'105 (11)'!I33</f>
        <v>0</v>
      </c>
      <c r="J33" s="24">
        <f ca="1">'105 (5)'!J33+'105 (9)'!J33+'105 (10)'!J33+'105 (11)'!J33</f>
        <v>0</v>
      </c>
      <c r="K33" s="24">
        <f ca="1">'105 (5)'!K33+'105 (9)'!K33+'105 (10)'!K33+'105 (11)'!K33</f>
        <v>0</v>
      </c>
      <c r="L33" s="24">
        <f ca="1">'105 (5)'!L33+'105 (9)'!L33+'105 (10)'!L33+'105 (11)'!L33</f>
        <v>0</v>
      </c>
      <c r="M33" s="24">
        <f ca="1">'105 (5)'!M33+'105 (9)'!M33+'105 (10)'!M33+'105 (11)'!M33</f>
        <v>0</v>
      </c>
      <c r="N33" s="24">
        <f ca="1">'105 (5)'!N33+'105 (9)'!N33+'105 (10)'!N33+'105 (11)'!N33</f>
        <v>0</v>
      </c>
      <c r="O33" s="24">
        <f ca="1">'105 (5)'!O33+'105 (9)'!O33+'105 (10)'!O33+'105 (11)'!O33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'105 (5)'!D34+'105 (9)'!D34+'105 (10)'!D34+'105 (11)'!D34</f>
        <v>50</v>
      </c>
      <c r="E34" s="24">
        <f ca="1">'105 (5)'!E34+'105 (9)'!E34+'105 (10)'!E34+'105 (11)'!E34</f>
        <v>0</v>
      </c>
      <c r="F34" s="24">
        <f ca="1">'105 (5)'!F34+'105 (9)'!F34+'105 (10)'!F34+'105 (11)'!F34</f>
        <v>0</v>
      </c>
      <c r="G34" s="24">
        <f ca="1">'105 (5)'!G34+'105 (9)'!G34+'105 (10)'!G34+'105 (11)'!G34</f>
        <v>0</v>
      </c>
      <c r="H34" s="24">
        <f ca="1">'105 (5)'!H34+'105 (9)'!H34+'105 (10)'!H34+'105 (11)'!H34</f>
        <v>0</v>
      </c>
      <c r="I34" s="24">
        <f ca="1">'105 (5)'!I34+'105 (9)'!I34+'105 (10)'!I34+'105 (11)'!I34</f>
        <v>0</v>
      </c>
      <c r="J34" s="24">
        <f ca="1">'105 (5)'!J34+'105 (9)'!J34+'105 (10)'!J34+'105 (11)'!J34</f>
        <v>0</v>
      </c>
      <c r="K34" s="24">
        <f ca="1">'105 (5)'!K34+'105 (9)'!K34+'105 (10)'!K34+'105 (11)'!K34</f>
        <v>0</v>
      </c>
      <c r="L34" s="24">
        <f ca="1">'105 (5)'!L34+'105 (9)'!L34+'105 (10)'!L34+'105 (11)'!L34</f>
        <v>0</v>
      </c>
      <c r="M34" s="24">
        <f ca="1">'105 (5)'!M34+'105 (9)'!M34+'105 (10)'!M34+'105 (11)'!M34</f>
        <v>0</v>
      </c>
      <c r="N34" s="24">
        <f ca="1">'105 (5)'!N34+'105 (9)'!N34+'105 (10)'!N34+'105 (11)'!N34</f>
        <v>0</v>
      </c>
      <c r="O34" s="24">
        <f ca="1">'105 (5)'!O34+'105 (9)'!O34+'105 (10)'!O34+'105 (11)'!O34</f>
        <v>0</v>
      </c>
    </row>
    <row r="35" spans="1:15">
      <c r="A35" s="27"/>
      <c r="B35" s="24"/>
      <c r="C35" s="33">
        <f>Справочник!J1</f>
        <v>2019</v>
      </c>
      <c r="D35" s="24">
        <f ca="1">'105 (5)'!D35+'105 (9)'!D35+'105 (10)'!D35+'105 (11)'!D35</f>
        <v>23</v>
      </c>
      <c r="E35" s="24">
        <f ca="1">'105 (5)'!E35+'105 (9)'!E35+'105 (10)'!E35+'105 (11)'!E35</f>
        <v>0</v>
      </c>
      <c r="F35" s="24">
        <f ca="1">'105 (5)'!F35+'105 (9)'!F35+'105 (10)'!F35+'105 (11)'!F35</f>
        <v>0</v>
      </c>
      <c r="G35" s="24">
        <f ca="1">'105 (5)'!G35+'105 (9)'!G35+'105 (10)'!G35+'105 (11)'!G35</f>
        <v>0</v>
      </c>
      <c r="H35" s="24">
        <f ca="1">'105 (5)'!H35+'105 (9)'!H35+'105 (10)'!H35+'105 (11)'!H35</f>
        <v>0</v>
      </c>
      <c r="I35" s="24">
        <f ca="1">'105 (5)'!I35+'105 (9)'!I35+'105 (10)'!I35+'105 (11)'!I35</f>
        <v>0</v>
      </c>
      <c r="J35" s="24">
        <f ca="1">'105 (5)'!J35+'105 (9)'!J35+'105 (10)'!J35+'105 (11)'!J35</f>
        <v>0</v>
      </c>
      <c r="K35" s="24">
        <f ca="1">'105 (5)'!K35+'105 (9)'!K35+'105 (10)'!K35+'105 (11)'!K35</f>
        <v>0</v>
      </c>
      <c r="L35" s="24">
        <f ca="1">'105 (5)'!L35+'105 (9)'!L35+'105 (10)'!L35+'105 (11)'!L35</f>
        <v>0</v>
      </c>
      <c r="M35" s="24">
        <f ca="1">'105 (5)'!M35+'105 (9)'!M35+'105 (10)'!M35+'105 (11)'!M35</f>
        <v>0</v>
      </c>
      <c r="N35" s="24">
        <f ca="1">'105 (5)'!N35+'105 (9)'!N35+'105 (10)'!N35+'105 (11)'!N35</f>
        <v>0</v>
      </c>
      <c r="O35" s="24">
        <f ca="1">'105 (5)'!O35+'105 (9)'!O35+'105 (10)'!O35+'105 (11)'!O35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'105 (5)'!D36+'105 (9)'!D36+'105 (10)'!D36+'105 (11)'!D36</f>
        <v>133</v>
      </c>
      <c r="E36" s="24">
        <f ca="1">'105 (5)'!E36+'105 (9)'!E36+'105 (10)'!E36+'105 (11)'!E36</f>
        <v>0</v>
      </c>
      <c r="F36" s="24">
        <f ca="1">'105 (5)'!F36+'105 (9)'!F36+'105 (10)'!F36+'105 (11)'!F36</f>
        <v>0</v>
      </c>
      <c r="G36" s="24">
        <f ca="1">'105 (5)'!G36+'105 (9)'!G36+'105 (10)'!G36+'105 (11)'!G36</f>
        <v>0</v>
      </c>
      <c r="H36" s="24">
        <f ca="1">'105 (5)'!H36+'105 (9)'!H36+'105 (10)'!H36+'105 (11)'!H36</f>
        <v>0</v>
      </c>
      <c r="I36" s="24">
        <f ca="1">'105 (5)'!I36+'105 (9)'!I36+'105 (10)'!I36+'105 (11)'!I36</f>
        <v>0</v>
      </c>
      <c r="J36" s="24">
        <f ca="1">'105 (5)'!J36+'105 (9)'!J36+'105 (10)'!J36+'105 (11)'!J36</f>
        <v>0</v>
      </c>
      <c r="K36" s="24">
        <f ca="1">'105 (5)'!K36+'105 (9)'!K36+'105 (10)'!K36+'105 (11)'!K36</f>
        <v>0</v>
      </c>
      <c r="L36" s="24">
        <f ca="1">'105 (5)'!L36+'105 (9)'!L36+'105 (10)'!L36+'105 (11)'!L36</f>
        <v>0</v>
      </c>
      <c r="M36" s="24">
        <f ca="1">'105 (5)'!M36+'105 (9)'!M36+'105 (10)'!M36+'105 (11)'!M36</f>
        <v>0</v>
      </c>
      <c r="N36" s="24">
        <f ca="1">'105 (5)'!N36+'105 (9)'!N36+'105 (10)'!N36+'105 (11)'!N36</f>
        <v>0</v>
      </c>
      <c r="O36" s="24">
        <f ca="1">'105 (5)'!O36+'105 (9)'!O36+'105 (10)'!O36+'105 (11)'!O36</f>
        <v>0</v>
      </c>
    </row>
    <row r="37" spans="1:15">
      <c r="A37" s="25"/>
      <c r="B37" s="24"/>
      <c r="C37" s="33">
        <f>Справочник!J1</f>
        <v>2019</v>
      </c>
      <c r="D37" s="24">
        <f ca="1">'105 (5)'!D37+'105 (9)'!D37+'105 (10)'!D37+'105 (11)'!D37</f>
        <v>144</v>
      </c>
      <c r="E37" s="24">
        <f ca="1">'105 (5)'!E37+'105 (9)'!E37+'105 (10)'!E37+'105 (11)'!E37</f>
        <v>0</v>
      </c>
      <c r="F37" s="24">
        <f ca="1">'105 (5)'!F37+'105 (9)'!F37+'105 (10)'!F37+'105 (11)'!F37</f>
        <v>0</v>
      </c>
      <c r="G37" s="24">
        <f ca="1">'105 (5)'!G37+'105 (9)'!G37+'105 (10)'!G37+'105 (11)'!G37</f>
        <v>0</v>
      </c>
      <c r="H37" s="24">
        <f ca="1">'105 (5)'!H37+'105 (9)'!H37+'105 (10)'!H37+'105 (11)'!H37</f>
        <v>0</v>
      </c>
      <c r="I37" s="24">
        <f ca="1">'105 (5)'!I37+'105 (9)'!I37+'105 (10)'!I37+'105 (11)'!I37</f>
        <v>0</v>
      </c>
      <c r="J37" s="24">
        <f ca="1">'105 (5)'!J37+'105 (9)'!J37+'105 (10)'!J37+'105 (11)'!J37</f>
        <v>0</v>
      </c>
      <c r="K37" s="24">
        <f ca="1">'105 (5)'!K37+'105 (9)'!K37+'105 (10)'!K37+'105 (11)'!K37</f>
        <v>0</v>
      </c>
      <c r="L37" s="24">
        <f ca="1">'105 (5)'!L37+'105 (9)'!L37+'105 (10)'!L37+'105 (11)'!L37</f>
        <v>0</v>
      </c>
      <c r="M37" s="24">
        <f ca="1">'105 (5)'!M37+'105 (9)'!M37+'105 (10)'!M37+'105 (11)'!M37</f>
        <v>0</v>
      </c>
      <c r="N37" s="24">
        <f ca="1">'105 (5)'!N37+'105 (9)'!N37+'105 (10)'!N37+'105 (11)'!N37</f>
        <v>0</v>
      </c>
      <c r="O37" s="24">
        <f ca="1">'105 (5)'!O37+'105 (9)'!O37+'105 (10)'!O37+'105 (11)'!O37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'105 (5)'!D38+'105 (9)'!D38+'105 (10)'!D38+'105 (11)'!D38</f>
        <v>0</v>
      </c>
      <c r="E38" s="24">
        <f ca="1">'105 (5)'!E38+'105 (9)'!E38+'105 (10)'!E38+'105 (11)'!E38</f>
        <v>0</v>
      </c>
      <c r="F38" s="24">
        <f ca="1">'105 (5)'!F38+'105 (9)'!F38+'105 (10)'!F38+'105 (11)'!F38</f>
        <v>0</v>
      </c>
      <c r="G38" s="24">
        <f ca="1">'105 (5)'!G38+'105 (9)'!G38+'105 (10)'!G38+'105 (11)'!G38</f>
        <v>0</v>
      </c>
      <c r="H38" s="24">
        <f ca="1">'105 (5)'!H38+'105 (9)'!H38+'105 (10)'!H38+'105 (11)'!H38</f>
        <v>0</v>
      </c>
      <c r="I38" s="24">
        <f ca="1">'105 (5)'!I38+'105 (9)'!I38+'105 (10)'!I38+'105 (11)'!I38</f>
        <v>0</v>
      </c>
      <c r="J38" s="24">
        <f ca="1">'105 (5)'!J38+'105 (9)'!J38+'105 (10)'!J38+'105 (11)'!J38</f>
        <v>0</v>
      </c>
      <c r="K38" s="24">
        <f ca="1">'105 (5)'!K38+'105 (9)'!K38+'105 (10)'!K38+'105 (11)'!K38</f>
        <v>0</v>
      </c>
      <c r="L38" s="24">
        <f ca="1">'105 (5)'!L38+'105 (9)'!L38+'105 (10)'!L38+'105 (11)'!L38</f>
        <v>0</v>
      </c>
      <c r="M38" s="24">
        <f ca="1">'105 (5)'!M38+'105 (9)'!M38+'105 (10)'!M38+'105 (11)'!M38</f>
        <v>0</v>
      </c>
      <c r="N38" s="24">
        <f ca="1">'105 (5)'!N38+'105 (9)'!N38+'105 (10)'!N38+'105 (11)'!N38</f>
        <v>0</v>
      </c>
      <c r="O38" s="24">
        <f ca="1">'105 (5)'!O38+'105 (9)'!O38+'105 (10)'!O38+'105 (11)'!O38</f>
        <v>0</v>
      </c>
    </row>
    <row r="39" spans="1:15">
      <c r="A39" s="25"/>
      <c r="B39" s="24"/>
      <c r="C39" s="33">
        <f>Справочник!J1</f>
        <v>2019</v>
      </c>
      <c r="D39" s="24">
        <f ca="1">'105 (5)'!D39+'105 (9)'!D39+'105 (10)'!D39+'105 (11)'!D39</f>
        <v>7</v>
      </c>
      <c r="E39" s="24">
        <f ca="1">'105 (5)'!E39+'105 (9)'!E39+'105 (10)'!E39+'105 (11)'!E39</f>
        <v>0</v>
      </c>
      <c r="F39" s="24">
        <f ca="1">'105 (5)'!F39+'105 (9)'!F39+'105 (10)'!F39+'105 (11)'!F39</f>
        <v>0</v>
      </c>
      <c r="G39" s="24">
        <f ca="1">'105 (5)'!G39+'105 (9)'!G39+'105 (10)'!G39+'105 (11)'!G39</f>
        <v>0</v>
      </c>
      <c r="H39" s="24">
        <f ca="1">'105 (5)'!H39+'105 (9)'!H39+'105 (10)'!H39+'105 (11)'!H39</f>
        <v>0</v>
      </c>
      <c r="I39" s="24">
        <f ca="1">'105 (5)'!I39+'105 (9)'!I39+'105 (10)'!I39+'105 (11)'!I39</f>
        <v>0</v>
      </c>
      <c r="J39" s="24">
        <f ca="1">'105 (5)'!J39+'105 (9)'!J39+'105 (10)'!J39+'105 (11)'!J39</f>
        <v>0</v>
      </c>
      <c r="K39" s="24">
        <f ca="1">'105 (5)'!K39+'105 (9)'!K39+'105 (10)'!K39+'105 (11)'!K39</f>
        <v>0</v>
      </c>
      <c r="L39" s="24">
        <f ca="1">'105 (5)'!L39+'105 (9)'!L39+'105 (10)'!L39+'105 (11)'!L39</f>
        <v>0</v>
      </c>
      <c r="M39" s="24">
        <f ca="1">'105 (5)'!M39+'105 (9)'!M39+'105 (10)'!M39+'105 (11)'!M39</f>
        <v>0</v>
      </c>
      <c r="N39" s="24">
        <f ca="1">'105 (5)'!N39+'105 (9)'!N39+'105 (10)'!N39+'105 (11)'!N39</f>
        <v>0</v>
      </c>
      <c r="O39" s="24">
        <f ca="1">'105 (5)'!O39+'105 (9)'!O39+'105 (10)'!O39+'105 (11)'!O39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'105 (5)'!D40+'105 (9)'!D40+'105 (10)'!D40+'105 (11)'!D40</f>
        <v>24</v>
      </c>
      <c r="E40" s="24">
        <f ca="1">'105 (5)'!E40+'105 (9)'!E40+'105 (10)'!E40+'105 (11)'!E40</f>
        <v>0</v>
      </c>
      <c r="F40" s="24">
        <f ca="1">'105 (5)'!F40+'105 (9)'!F40+'105 (10)'!F40+'105 (11)'!F40</f>
        <v>0</v>
      </c>
      <c r="G40" s="24">
        <f ca="1">'105 (5)'!G40+'105 (9)'!G40+'105 (10)'!G40+'105 (11)'!G40</f>
        <v>0</v>
      </c>
      <c r="H40" s="24">
        <f ca="1">'105 (5)'!H40+'105 (9)'!H40+'105 (10)'!H40+'105 (11)'!H40</f>
        <v>0</v>
      </c>
      <c r="I40" s="24">
        <f ca="1">'105 (5)'!I40+'105 (9)'!I40+'105 (10)'!I40+'105 (11)'!I40</f>
        <v>0</v>
      </c>
      <c r="J40" s="24">
        <f ca="1">'105 (5)'!J40+'105 (9)'!J40+'105 (10)'!J40+'105 (11)'!J40</f>
        <v>0</v>
      </c>
      <c r="K40" s="24">
        <f ca="1">'105 (5)'!K40+'105 (9)'!K40+'105 (10)'!K40+'105 (11)'!K40</f>
        <v>0</v>
      </c>
      <c r="L40" s="24">
        <f ca="1">'105 (5)'!L40+'105 (9)'!L40+'105 (10)'!L40+'105 (11)'!L40</f>
        <v>0</v>
      </c>
      <c r="M40" s="24">
        <f ca="1">'105 (5)'!M40+'105 (9)'!M40+'105 (10)'!M40+'105 (11)'!M40</f>
        <v>0</v>
      </c>
      <c r="N40" s="24">
        <f ca="1">'105 (5)'!N40+'105 (9)'!N40+'105 (10)'!N40+'105 (11)'!N40</f>
        <v>0</v>
      </c>
      <c r="O40" s="24">
        <f ca="1">'105 (5)'!O40+'105 (9)'!O40+'105 (10)'!O40+'105 (11)'!O40</f>
        <v>0</v>
      </c>
    </row>
    <row r="41" spans="1:15">
      <c r="A41" s="25"/>
      <c r="B41" s="24"/>
      <c r="C41" s="33">
        <f>Справочник!J1</f>
        <v>2019</v>
      </c>
      <c r="D41" s="24">
        <f ca="1">'105 (5)'!D41+'105 (9)'!D41+'105 (10)'!D41+'105 (11)'!D41</f>
        <v>33</v>
      </c>
      <c r="E41" s="24">
        <f ca="1">'105 (5)'!E41+'105 (9)'!E41+'105 (10)'!E41+'105 (11)'!E41</f>
        <v>0</v>
      </c>
      <c r="F41" s="24">
        <f ca="1">'105 (5)'!F41+'105 (9)'!F41+'105 (10)'!F41+'105 (11)'!F41</f>
        <v>0</v>
      </c>
      <c r="G41" s="24">
        <f ca="1">'105 (5)'!G41+'105 (9)'!G41+'105 (10)'!G41+'105 (11)'!G41</f>
        <v>0</v>
      </c>
      <c r="H41" s="24">
        <f ca="1">'105 (5)'!H41+'105 (9)'!H41+'105 (10)'!H41+'105 (11)'!H41</f>
        <v>0</v>
      </c>
      <c r="I41" s="24">
        <f ca="1">'105 (5)'!I41+'105 (9)'!I41+'105 (10)'!I41+'105 (11)'!I41</f>
        <v>0</v>
      </c>
      <c r="J41" s="24">
        <f ca="1">'105 (5)'!J41+'105 (9)'!J41+'105 (10)'!J41+'105 (11)'!J41</f>
        <v>0</v>
      </c>
      <c r="K41" s="24">
        <f ca="1">'105 (5)'!K41+'105 (9)'!K41+'105 (10)'!K41+'105 (11)'!K41</f>
        <v>0</v>
      </c>
      <c r="L41" s="24">
        <f ca="1">'105 (5)'!L41+'105 (9)'!L41+'105 (10)'!L41+'105 (11)'!L41</f>
        <v>0</v>
      </c>
      <c r="M41" s="24">
        <f ca="1">'105 (5)'!M41+'105 (9)'!M41+'105 (10)'!M41+'105 (11)'!M41</f>
        <v>0</v>
      </c>
      <c r="N41" s="24">
        <f ca="1">'105 (5)'!N41+'105 (9)'!N41+'105 (10)'!N41+'105 (11)'!N41</f>
        <v>0</v>
      </c>
      <c r="O41" s="24">
        <f ca="1">'105 (5)'!O41+'105 (9)'!O41+'105 (10)'!O41+'105 (11)'!O41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'105 (5)'!D42+'105 (9)'!D42+'105 (10)'!D42+'105 (11)'!D42</f>
        <v>58</v>
      </c>
      <c r="E42" s="24">
        <f ca="1">'105 (5)'!E42+'105 (9)'!E42+'105 (10)'!E42+'105 (11)'!E42</f>
        <v>0</v>
      </c>
      <c r="F42" s="24">
        <f ca="1">'105 (5)'!F42+'105 (9)'!F42+'105 (10)'!F42+'105 (11)'!F42</f>
        <v>0</v>
      </c>
      <c r="G42" s="24">
        <f ca="1">'105 (5)'!G42+'105 (9)'!G42+'105 (10)'!G42+'105 (11)'!G42</f>
        <v>0</v>
      </c>
      <c r="H42" s="24">
        <f ca="1">'105 (5)'!H42+'105 (9)'!H42+'105 (10)'!H42+'105 (11)'!H42</f>
        <v>0</v>
      </c>
      <c r="I42" s="24">
        <f ca="1">'105 (5)'!I42+'105 (9)'!I42+'105 (10)'!I42+'105 (11)'!I42</f>
        <v>0</v>
      </c>
      <c r="J42" s="24">
        <f ca="1">'105 (5)'!J42+'105 (9)'!J42+'105 (10)'!J42+'105 (11)'!J42</f>
        <v>0</v>
      </c>
      <c r="K42" s="24">
        <f ca="1">'105 (5)'!K42+'105 (9)'!K42+'105 (10)'!K42+'105 (11)'!K42</f>
        <v>0</v>
      </c>
      <c r="L42" s="24">
        <f ca="1">'105 (5)'!L42+'105 (9)'!L42+'105 (10)'!L42+'105 (11)'!L42</f>
        <v>0</v>
      </c>
      <c r="M42" s="24">
        <f ca="1">'105 (5)'!M42+'105 (9)'!M42+'105 (10)'!M42+'105 (11)'!M42</f>
        <v>0</v>
      </c>
      <c r="N42" s="24">
        <f ca="1">'105 (5)'!N42+'105 (9)'!N42+'105 (10)'!N42+'105 (11)'!N42</f>
        <v>0</v>
      </c>
      <c r="O42" s="24">
        <f ca="1">'105 (5)'!O42+'105 (9)'!O42+'105 (10)'!O42+'105 (11)'!O42</f>
        <v>0</v>
      </c>
    </row>
    <row r="43" spans="1:15">
      <c r="A43" s="25"/>
      <c r="B43" s="24"/>
      <c r="C43" s="33">
        <f>Справочник!J1</f>
        <v>2019</v>
      </c>
      <c r="D43" s="24">
        <f ca="1">'105 (5)'!D43+'105 (9)'!D43+'105 (10)'!D43+'105 (11)'!D43</f>
        <v>96</v>
      </c>
      <c r="E43" s="24">
        <f ca="1">'105 (5)'!E43+'105 (9)'!E43+'105 (10)'!E43+'105 (11)'!E43</f>
        <v>0</v>
      </c>
      <c r="F43" s="24">
        <f ca="1">'105 (5)'!F43+'105 (9)'!F43+'105 (10)'!F43+'105 (11)'!F43</f>
        <v>0</v>
      </c>
      <c r="G43" s="24">
        <f ca="1">'105 (5)'!G43+'105 (9)'!G43+'105 (10)'!G43+'105 (11)'!G43</f>
        <v>0</v>
      </c>
      <c r="H43" s="24">
        <f ca="1">'105 (5)'!H43+'105 (9)'!H43+'105 (10)'!H43+'105 (11)'!H43</f>
        <v>0</v>
      </c>
      <c r="I43" s="24">
        <f ca="1">'105 (5)'!I43+'105 (9)'!I43+'105 (10)'!I43+'105 (11)'!I43</f>
        <v>0</v>
      </c>
      <c r="J43" s="24">
        <f ca="1">'105 (5)'!J43+'105 (9)'!J43+'105 (10)'!J43+'105 (11)'!J43</f>
        <v>0</v>
      </c>
      <c r="K43" s="24">
        <f ca="1">'105 (5)'!K43+'105 (9)'!K43+'105 (10)'!K43+'105 (11)'!K43</f>
        <v>0</v>
      </c>
      <c r="L43" s="24">
        <f ca="1">'105 (5)'!L43+'105 (9)'!L43+'105 (10)'!L43+'105 (11)'!L43</f>
        <v>0</v>
      </c>
      <c r="M43" s="24">
        <f ca="1">'105 (5)'!M43+'105 (9)'!M43+'105 (10)'!M43+'105 (11)'!M43</f>
        <v>0</v>
      </c>
      <c r="N43" s="24">
        <f ca="1">'105 (5)'!N43+'105 (9)'!N43+'105 (10)'!N43+'105 (11)'!N43</f>
        <v>0</v>
      </c>
      <c r="O43" s="24">
        <f ca="1">'105 (5)'!O43+'105 (9)'!O43+'105 (10)'!O43+'105 (11)'!O43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'105 (5)'!D44+'105 (9)'!D44+'105 (10)'!D44+'105 (11)'!D44</f>
        <v>44</v>
      </c>
      <c r="E44" s="24">
        <f ca="1">'105 (5)'!E44+'105 (9)'!E44+'105 (10)'!E44+'105 (11)'!E44</f>
        <v>0</v>
      </c>
      <c r="F44" s="24">
        <f ca="1">'105 (5)'!F44+'105 (9)'!F44+'105 (10)'!F44+'105 (11)'!F44</f>
        <v>0</v>
      </c>
      <c r="G44" s="24">
        <f ca="1">'105 (5)'!G44+'105 (9)'!G44+'105 (10)'!G44+'105 (11)'!G44</f>
        <v>0</v>
      </c>
      <c r="H44" s="24">
        <f ca="1">'105 (5)'!H44+'105 (9)'!H44+'105 (10)'!H44+'105 (11)'!H44</f>
        <v>0</v>
      </c>
      <c r="I44" s="24">
        <f ca="1">'105 (5)'!I44+'105 (9)'!I44+'105 (10)'!I44+'105 (11)'!I44</f>
        <v>0</v>
      </c>
      <c r="J44" s="24">
        <f ca="1">'105 (5)'!J44+'105 (9)'!J44+'105 (10)'!J44+'105 (11)'!J44</f>
        <v>0</v>
      </c>
      <c r="K44" s="24">
        <f ca="1">'105 (5)'!K44+'105 (9)'!K44+'105 (10)'!K44+'105 (11)'!K44</f>
        <v>0</v>
      </c>
      <c r="L44" s="24">
        <f ca="1">'105 (5)'!L44+'105 (9)'!L44+'105 (10)'!L44+'105 (11)'!L44</f>
        <v>0</v>
      </c>
      <c r="M44" s="24">
        <f ca="1">'105 (5)'!M44+'105 (9)'!M44+'105 (10)'!M44+'105 (11)'!M44</f>
        <v>0</v>
      </c>
      <c r="N44" s="24">
        <f ca="1">'105 (5)'!N44+'105 (9)'!N44+'105 (10)'!N44+'105 (11)'!N44</f>
        <v>0</v>
      </c>
      <c r="O44" s="24">
        <f ca="1">'105 (5)'!O44+'105 (9)'!O44+'105 (10)'!O44+'105 (11)'!O44</f>
        <v>0</v>
      </c>
    </row>
    <row r="45" spans="1:15">
      <c r="A45" s="25"/>
      <c r="B45" s="24"/>
      <c r="C45" s="33">
        <f>Справочник!J1</f>
        <v>2019</v>
      </c>
      <c r="D45" s="24">
        <f ca="1">'105 (5)'!D45+'105 (9)'!D45+'105 (10)'!D45+'105 (11)'!D45</f>
        <v>11</v>
      </c>
      <c r="E45" s="24">
        <f ca="1">'105 (5)'!E45+'105 (9)'!E45+'105 (10)'!E45+'105 (11)'!E45</f>
        <v>0</v>
      </c>
      <c r="F45" s="24">
        <f ca="1">'105 (5)'!F45+'105 (9)'!F45+'105 (10)'!F45+'105 (11)'!F45</f>
        <v>0</v>
      </c>
      <c r="G45" s="24">
        <f ca="1">'105 (5)'!G45+'105 (9)'!G45+'105 (10)'!G45+'105 (11)'!G45</f>
        <v>0</v>
      </c>
      <c r="H45" s="24">
        <f ca="1">'105 (5)'!H45+'105 (9)'!H45+'105 (10)'!H45+'105 (11)'!H45</f>
        <v>0</v>
      </c>
      <c r="I45" s="24">
        <f ca="1">'105 (5)'!I45+'105 (9)'!I45+'105 (10)'!I45+'105 (11)'!I45</f>
        <v>0</v>
      </c>
      <c r="J45" s="24">
        <f ca="1">'105 (5)'!J45+'105 (9)'!J45+'105 (10)'!J45+'105 (11)'!J45</f>
        <v>0</v>
      </c>
      <c r="K45" s="24">
        <f ca="1">'105 (5)'!K45+'105 (9)'!K45+'105 (10)'!K45+'105 (11)'!K45</f>
        <v>0</v>
      </c>
      <c r="L45" s="24">
        <f ca="1">'105 (5)'!L45+'105 (9)'!L45+'105 (10)'!L45+'105 (11)'!L45</f>
        <v>0</v>
      </c>
      <c r="M45" s="24">
        <f ca="1">'105 (5)'!M45+'105 (9)'!M45+'105 (10)'!M45+'105 (11)'!M45</f>
        <v>0</v>
      </c>
      <c r="N45" s="24">
        <f ca="1">'105 (5)'!N45+'105 (9)'!N45+'105 (10)'!N45+'105 (11)'!N45</f>
        <v>0</v>
      </c>
      <c r="O45" s="24">
        <f ca="1">'105 (5)'!O45+'105 (9)'!O45+'105 (10)'!O45+'105 (11)'!O45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'105 (5)'!D46+'105 (9)'!D46+'105 (10)'!D46+'105 (11)'!D46</f>
        <v>43</v>
      </c>
      <c r="E46" s="24">
        <f ca="1">'105 (5)'!E46+'105 (9)'!E46+'105 (10)'!E46+'105 (11)'!E46</f>
        <v>0</v>
      </c>
      <c r="F46" s="24">
        <f ca="1">'105 (5)'!F46+'105 (9)'!F46+'105 (10)'!F46+'105 (11)'!F46</f>
        <v>0</v>
      </c>
      <c r="G46" s="24">
        <f ca="1">'105 (5)'!G46+'105 (9)'!G46+'105 (10)'!G46+'105 (11)'!G46</f>
        <v>0</v>
      </c>
      <c r="H46" s="24">
        <f ca="1">'105 (5)'!H46+'105 (9)'!H46+'105 (10)'!H46+'105 (11)'!H46</f>
        <v>0</v>
      </c>
      <c r="I46" s="24">
        <f ca="1">'105 (5)'!I46+'105 (9)'!I46+'105 (10)'!I46+'105 (11)'!I46</f>
        <v>0</v>
      </c>
      <c r="J46" s="24">
        <f ca="1">'105 (5)'!J46+'105 (9)'!J46+'105 (10)'!J46+'105 (11)'!J46</f>
        <v>0</v>
      </c>
      <c r="K46" s="24">
        <f ca="1">'105 (5)'!K46+'105 (9)'!K46+'105 (10)'!K46+'105 (11)'!K46</f>
        <v>0</v>
      </c>
      <c r="L46" s="24">
        <f ca="1">'105 (5)'!L46+'105 (9)'!L46+'105 (10)'!L46+'105 (11)'!L46</f>
        <v>0</v>
      </c>
      <c r="M46" s="24">
        <f ca="1">'105 (5)'!M46+'105 (9)'!M46+'105 (10)'!M46+'105 (11)'!M46</f>
        <v>0</v>
      </c>
      <c r="N46" s="24">
        <f ca="1">'105 (5)'!N46+'105 (9)'!N46+'105 (10)'!N46+'105 (11)'!N46</f>
        <v>0</v>
      </c>
      <c r="O46" s="24">
        <f ca="1">'105 (5)'!O46+'105 (9)'!O46+'105 (10)'!O46+'105 (11)'!O46</f>
        <v>0</v>
      </c>
    </row>
    <row r="47" spans="1:15">
      <c r="A47" s="25"/>
      <c r="B47" s="24"/>
      <c r="C47" s="33">
        <f>Справочник!J1</f>
        <v>2019</v>
      </c>
      <c r="D47" s="24">
        <f ca="1">'105 (5)'!D47+'105 (9)'!D47+'105 (10)'!D47+'105 (11)'!D47</f>
        <v>3</v>
      </c>
      <c r="E47" s="24">
        <f ca="1">'105 (5)'!E47+'105 (9)'!E47+'105 (10)'!E47+'105 (11)'!E47</f>
        <v>0</v>
      </c>
      <c r="F47" s="24">
        <f ca="1">'105 (5)'!F47+'105 (9)'!F47+'105 (10)'!F47+'105 (11)'!F47</f>
        <v>0</v>
      </c>
      <c r="G47" s="24">
        <f ca="1">'105 (5)'!G47+'105 (9)'!G47+'105 (10)'!G47+'105 (11)'!G47</f>
        <v>0</v>
      </c>
      <c r="H47" s="24">
        <f ca="1">'105 (5)'!H47+'105 (9)'!H47+'105 (10)'!H47+'105 (11)'!H47</f>
        <v>0</v>
      </c>
      <c r="I47" s="24">
        <f ca="1">'105 (5)'!I47+'105 (9)'!I47+'105 (10)'!I47+'105 (11)'!I47</f>
        <v>0</v>
      </c>
      <c r="J47" s="24">
        <f ca="1">'105 (5)'!J47+'105 (9)'!J47+'105 (10)'!J47+'105 (11)'!J47</f>
        <v>0</v>
      </c>
      <c r="K47" s="24">
        <f ca="1">'105 (5)'!K47+'105 (9)'!K47+'105 (10)'!K47+'105 (11)'!K47</f>
        <v>0</v>
      </c>
      <c r="L47" s="24">
        <f ca="1">'105 (5)'!L47+'105 (9)'!L47+'105 (10)'!L47+'105 (11)'!L47</f>
        <v>0</v>
      </c>
      <c r="M47" s="24">
        <f ca="1">'105 (5)'!M47+'105 (9)'!M47+'105 (10)'!M47+'105 (11)'!M47</f>
        <v>0</v>
      </c>
      <c r="N47" s="24">
        <f ca="1">'105 (5)'!N47+'105 (9)'!N47+'105 (10)'!N47+'105 (11)'!N47</f>
        <v>0</v>
      </c>
      <c r="O47" s="24">
        <f ca="1">'105 (5)'!O47+'105 (9)'!O47+'105 (10)'!O47+'105 (11)'!O47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'105 (5)'!D48+'105 (9)'!D48+'105 (10)'!D48+'105 (11)'!D48</f>
        <v>80</v>
      </c>
      <c r="E48" s="24">
        <f ca="1">'105 (5)'!E48+'105 (9)'!E48+'105 (10)'!E48+'105 (11)'!E48</f>
        <v>0</v>
      </c>
      <c r="F48" s="24">
        <f ca="1">'105 (5)'!F48+'105 (9)'!F48+'105 (10)'!F48+'105 (11)'!F48</f>
        <v>0</v>
      </c>
      <c r="G48" s="24">
        <f ca="1">'105 (5)'!G48+'105 (9)'!G48+'105 (10)'!G48+'105 (11)'!G48</f>
        <v>0</v>
      </c>
      <c r="H48" s="24">
        <f ca="1">'105 (5)'!H48+'105 (9)'!H48+'105 (10)'!H48+'105 (11)'!H48</f>
        <v>0</v>
      </c>
      <c r="I48" s="24">
        <f ca="1">'105 (5)'!I48+'105 (9)'!I48+'105 (10)'!I48+'105 (11)'!I48</f>
        <v>0</v>
      </c>
      <c r="J48" s="24">
        <f ca="1">'105 (5)'!J48+'105 (9)'!J48+'105 (10)'!J48+'105 (11)'!J48</f>
        <v>0</v>
      </c>
      <c r="K48" s="24">
        <f ca="1">'105 (5)'!K48+'105 (9)'!K48+'105 (10)'!K48+'105 (11)'!K48</f>
        <v>0</v>
      </c>
      <c r="L48" s="24">
        <f ca="1">'105 (5)'!L48+'105 (9)'!L48+'105 (10)'!L48+'105 (11)'!L48</f>
        <v>0</v>
      </c>
      <c r="M48" s="24">
        <f ca="1">'105 (5)'!M48+'105 (9)'!M48+'105 (10)'!M48+'105 (11)'!M48</f>
        <v>0</v>
      </c>
      <c r="N48" s="24">
        <f ca="1">'105 (5)'!N48+'105 (9)'!N48+'105 (10)'!N48+'105 (11)'!N48</f>
        <v>0</v>
      </c>
      <c r="O48" s="24">
        <f ca="1">'105 (5)'!O48+'105 (9)'!O48+'105 (10)'!O48+'105 (11)'!O48</f>
        <v>0</v>
      </c>
    </row>
    <row r="49" spans="1:15">
      <c r="A49" s="27"/>
      <c r="B49" s="24"/>
      <c r="C49" s="33">
        <f>Справочник!J1</f>
        <v>2019</v>
      </c>
      <c r="D49" s="24">
        <f ca="1">'105 (5)'!D49+'105 (9)'!D49+'105 (10)'!D49+'105 (11)'!D49</f>
        <v>89</v>
      </c>
      <c r="E49" s="24">
        <f ca="1">'105 (5)'!E49+'105 (9)'!E49+'105 (10)'!E49+'105 (11)'!E49</f>
        <v>0</v>
      </c>
      <c r="F49" s="24">
        <f ca="1">'105 (5)'!F49+'105 (9)'!F49+'105 (10)'!F49+'105 (11)'!F49</f>
        <v>0</v>
      </c>
      <c r="G49" s="24">
        <f ca="1">'105 (5)'!G49+'105 (9)'!G49+'105 (10)'!G49+'105 (11)'!G49</f>
        <v>0</v>
      </c>
      <c r="H49" s="24">
        <f ca="1">'105 (5)'!H49+'105 (9)'!H49+'105 (10)'!H49+'105 (11)'!H49</f>
        <v>0</v>
      </c>
      <c r="I49" s="24">
        <f ca="1">'105 (5)'!I49+'105 (9)'!I49+'105 (10)'!I49+'105 (11)'!I49</f>
        <v>0</v>
      </c>
      <c r="J49" s="24">
        <f ca="1">'105 (5)'!J49+'105 (9)'!J49+'105 (10)'!J49+'105 (11)'!J49</f>
        <v>0</v>
      </c>
      <c r="K49" s="24">
        <f ca="1">'105 (5)'!K49+'105 (9)'!K49+'105 (10)'!K49+'105 (11)'!K49</f>
        <v>0</v>
      </c>
      <c r="L49" s="24">
        <f ca="1">'105 (5)'!L49+'105 (9)'!L49+'105 (10)'!L49+'105 (11)'!L49</f>
        <v>0</v>
      </c>
      <c r="M49" s="24">
        <f ca="1">'105 (5)'!M49+'105 (9)'!M49+'105 (10)'!M49+'105 (11)'!M49</f>
        <v>0</v>
      </c>
      <c r="N49" s="24">
        <f ca="1">'105 (5)'!N49+'105 (9)'!N49+'105 (10)'!N49+'105 (11)'!N49</f>
        <v>0</v>
      </c>
      <c r="O49" s="24">
        <f ca="1">'105 (5)'!O49+'105 (9)'!O49+'105 (10)'!O49+'105 (11)'!O49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'105 (5)'!D50+'105 (9)'!D50+'105 (10)'!D50+'105 (11)'!D50</f>
        <v>201</v>
      </c>
      <c r="E50" s="24">
        <f ca="1">'105 (5)'!E50+'105 (9)'!E50+'105 (10)'!E50+'105 (11)'!E50</f>
        <v>0</v>
      </c>
      <c r="F50" s="24">
        <f ca="1">'105 (5)'!F50+'105 (9)'!F50+'105 (10)'!F50+'105 (11)'!F50</f>
        <v>0</v>
      </c>
      <c r="G50" s="24">
        <f ca="1">'105 (5)'!G50+'105 (9)'!G50+'105 (10)'!G50+'105 (11)'!G50</f>
        <v>0</v>
      </c>
      <c r="H50" s="24">
        <f ca="1">'105 (5)'!H50+'105 (9)'!H50+'105 (10)'!H50+'105 (11)'!H50</f>
        <v>0</v>
      </c>
      <c r="I50" s="24">
        <f ca="1">'105 (5)'!I50+'105 (9)'!I50+'105 (10)'!I50+'105 (11)'!I50</f>
        <v>0</v>
      </c>
      <c r="J50" s="24">
        <f ca="1">'105 (5)'!J50+'105 (9)'!J50+'105 (10)'!J50+'105 (11)'!J50</f>
        <v>0</v>
      </c>
      <c r="K50" s="24">
        <f ca="1">'105 (5)'!K50+'105 (9)'!K50+'105 (10)'!K50+'105 (11)'!K50</f>
        <v>0</v>
      </c>
      <c r="L50" s="24">
        <f ca="1">'105 (5)'!L50+'105 (9)'!L50+'105 (10)'!L50+'105 (11)'!L50</f>
        <v>0</v>
      </c>
      <c r="M50" s="24">
        <f ca="1">'105 (5)'!M50+'105 (9)'!M50+'105 (10)'!M50+'105 (11)'!M50</f>
        <v>0</v>
      </c>
      <c r="N50" s="24">
        <f ca="1">'105 (5)'!N50+'105 (9)'!N50+'105 (10)'!N50+'105 (11)'!N50</f>
        <v>0</v>
      </c>
      <c r="O50" s="24">
        <f ca="1">'105 (5)'!O50+'105 (9)'!O50+'105 (10)'!O50+'105 (11)'!O50</f>
        <v>0</v>
      </c>
    </row>
    <row r="51" spans="1:15">
      <c r="A51" s="27"/>
      <c r="B51" s="24"/>
      <c r="C51" s="33">
        <f>Справочник!J1</f>
        <v>2019</v>
      </c>
      <c r="D51" s="24">
        <f ca="1">'105 (5)'!D51+'105 (9)'!D51+'105 (10)'!D51+'105 (11)'!D51</f>
        <v>199</v>
      </c>
      <c r="E51" s="24">
        <f ca="1">'105 (5)'!E51+'105 (9)'!E51+'105 (10)'!E51+'105 (11)'!E51</f>
        <v>0</v>
      </c>
      <c r="F51" s="24">
        <f ca="1">'105 (5)'!F51+'105 (9)'!F51+'105 (10)'!F51+'105 (11)'!F51</f>
        <v>0</v>
      </c>
      <c r="G51" s="24">
        <f ca="1">'105 (5)'!G51+'105 (9)'!G51+'105 (10)'!G51+'105 (11)'!G51</f>
        <v>0</v>
      </c>
      <c r="H51" s="24">
        <f ca="1">'105 (5)'!H51+'105 (9)'!H51+'105 (10)'!H51+'105 (11)'!H51</f>
        <v>0</v>
      </c>
      <c r="I51" s="24">
        <f ca="1">'105 (5)'!I51+'105 (9)'!I51+'105 (10)'!I51+'105 (11)'!I51</f>
        <v>0</v>
      </c>
      <c r="J51" s="24">
        <f ca="1">'105 (5)'!J51+'105 (9)'!J51+'105 (10)'!J51+'105 (11)'!J51</f>
        <v>0</v>
      </c>
      <c r="K51" s="24">
        <f ca="1">'105 (5)'!K51+'105 (9)'!K51+'105 (10)'!K51+'105 (11)'!K51</f>
        <v>0</v>
      </c>
      <c r="L51" s="24">
        <f ca="1">'105 (5)'!L51+'105 (9)'!L51+'105 (10)'!L51+'105 (11)'!L51</f>
        <v>0</v>
      </c>
      <c r="M51" s="24">
        <f ca="1">'105 (5)'!M51+'105 (9)'!M51+'105 (10)'!M51+'105 (11)'!M51</f>
        <v>0</v>
      </c>
      <c r="N51" s="24">
        <f ca="1">'105 (5)'!N51+'105 (9)'!N51+'105 (10)'!N51+'105 (11)'!N51</f>
        <v>0</v>
      </c>
      <c r="O51" s="24">
        <f ca="1">'105 (5)'!O51+'105 (9)'!O51+'105 (10)'!O51+'105 (11)'!O51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'105 (5)'!D52+'105 (9)'!D52+'105 (10)'!D52+'105 (11)'!D52</f>
        <v>112</v>
      </c>
      <c r="E52" s="24">
        <f ca="1">'105 (5)'!E52+'105 (9)'!E52+'105 (10)'!E52+'105 (11)'!E52</f>
        <v>0</v>
      </c>
      <c r="F52" s="24">
        <f ca="1">'105 (5)'!F52+'105 (9)'!F52+'105 (10)'!F52+'105 (11)'!F52</f>
        <v>0</v>
      </c>
      <c r="G52" s="24">
        <f ca="1">'105 (5)'!G52+'105 (9)'!G52+'105 (10)'!G52+'105 (11)'!G52</f>
        <v>0</v>
      </c>
      <c r="H52" s="24">
        <f ca="1">'105 (5)'!H52+'105 (9)'!H52+'105 (10)'!H52+'105 (11)'!H52</f>
        <v>0</v>
      </c>
      <c r="I52" s="24">
        <f ca="1">'105 (5)'!I52+'105 (9)'!I52+'105 (10)'!I52+'105 (11)'!I52</f>
        <v>0</v>
      </c>
      <c r="J52" s="24">
        <f ca="1">'105 (5)'!J52+'105 (9)'!J52+'105 (10)'!J52+'105 (11)'!J52</f>
        <v>0</v>
      </c>
      <c r="K52" s="24">
        <f ca="1">'105 (5)'!K52+'105 (9)'!K52+'105 (10)'!K52+'105 (11)'!K52</f>
        <v>0</v>
      </c>
      <c r="L52" s="24">
        <f ca="1">'105 (5)'!L52+'105 (9)'!L52+'105 (10)'!L52+'105 (11)'!L52</f>
        <v>0</v>
      </c>
      <c r="M52" s="24">
        <f ca="1">'105 (5)'!M52+'105 (9)'!M52+'105 (10)'!M52+'105 (11)'!M52</f>
        <v>0</v>
      </c>
      <c r="N52" s="24">
        <f ca="1">'105 (5)'!N52+'105 (9)'!N52+'105 (10)'!N52+'105 (11)'!N52</f>
        <v>0</v>
      </c>
      <c r="O52" s="24">
        <f ca="1">'105 (5)'!O52+'105 (9)'!O52+'105 (10)'!O52+'105 (11)'!O52</f>
        <v>0</v>
      </c>
    </row>
    <row r="53" spans="1:15">
      <c r="A53" s="27"/>
      <c r="B53" s="24"/>
      <c r="C53" s="33">
        <f>Справочник!J1</f>
        <v>2019</v>
      </c>
      <c r="D53" s="24">
        <f ca="1">'105 (5)'!D53+'105 (9)'!D53+'105 (10)'!D53+'105 (11)'!D53</f>
        <v>102</v>
      </c>
      <c r="E53" s="24">
        <f ca="1">'105 (5)'!E53+'105 (9)'!E53+'105 (10)'!E53+'105 (11)'!E53</f>
        <v>0</v>
      </c>
      <c r="F53" s="24">
        <f ca="1">'105 (5)'!F53+'105 (9)'!F53+'105 (10)'!F53+'105 (11)'!F53</f>
        <v>0</v>
      </c>
      <c r="G53" s="24">
        <f ca="1">'105 (5)'!G53+'105 (9)'!G53+'105 (10)'!G53+'105 (11)'!G53</f>
        <v>0</v>
      </c>
      <c r="H53" s="24">
        <f ca="1">'105 (5)'!H53+'105 (9)'!H53+'105 (10)'!H53+'105 (11)'!H53</f>
        <v>0</v>
      </c>
      <c r="I53" s="24">
        <f ca="1">'105 (5)'!I53+'105 (9)'!I53+'105 (10)'!I53+'105 (11)'!I53</f>
        <v>0</v>
      </c>
      <c r="J53" s="24">
        <f ca="1">'105 (5)'!J53+'105 (9)'!J53+'105 (10)'!J53+'105 (11)'!J53</f>
        <v>0</v>
      </c>
      <c r="K53" s="24">
        <f ca="1">'105 (5)'!K53+'105 (9)'!K53+'105 (10)'!K53+'105 (11)'!K53</f>
        <v>0</v>
      </c>
      <c r="L53" s="24">
        <f ca="1">'105 (5)'!L53+'105 (9)'!L53+'105 (10)'!L53+'105 (11)'!L53</f>
        <v>0</v>
      </c>
      <c r="M53" s="24">
        <f ca="1">'105 (5)'!M53+'105 (9)'!M53+'105 (10)'!M53+'105 (11)'!M53</f>
        <v>0</v>
      </c>
      <c r="N53" s="24">
        <f ca="1">'105 (5)'!N53+'105 (9)'!N53+'105 (10)'!N53+'105 (11)'!N53</f>
        <v>0</v>
      </c>
      <c r="O53" s="24">
        <f ca="1">'105 (5)'!O53+'105 (9)'!O53+'105 (10)'!O53+'105 (11)'!O53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'105 (5)'!D54+'105 (9)'!D54+'105 (10)'!D54+'105 (11)'!D54</f>
        <v>0</v>
      </c>
      <c r="E54" s="24">
        <f ca="1">'105 (5)'!E54+'105 (9)'!E54+'105 (10)'!E54+'105 (11)'!E54</f>
        <v>0</v>
      </c>
      <c r="F54" s="24">
        <f ca="1">'105 (5)'!F54+'105 (9)'!F54+'105 (10)'!F54+'105 (11)'!F54</f>
        <v>0</v>
      </c>
      <c r="G54" s="24">
        <f ca="1">'105 (5)'!G54+'105 (9)'!G54+'105 (10)'!G54+'105 (11)'!G54</f>
        <v>0</v>
      </c>
      <c r="H54" s="24">
        <f ca="1">'105 (5)'!H54+'105 (9)'!H54+'105 (10)'!H54+'105 (11)'!H54</f>
        <v>0</v>
      </c>
      <c r="I54" s="24">
        <f ca="1">'105 (5)'!I54+'105 (9)'!I54+'105 (10)'!I54+'105 (11)'!I54</f>
        <v>0</v>
      </c>
      <c r="J54" s="24">
        <f ca="1">'105 (5)'!J54+'105 (9)'!J54+'105 (10)'!J54+'105 (11)'!J54</f>
        <v>0</v>
      </c>
      <c r="K54" s="24">
        <f ca="1">'105 (5)'!K54+'105 (9)'!K54+'105 (10)'!K54+'105 (11)'!K54</f>
        <v>0</v>
      </c>
      <c r="L54" s="24">
        <f ca="1">'105 (5)'!L54+'105 (9)'!L54+'105 (10)'!L54+'105 (11)'!L54</f>
        <v>0</v>
      </c>
      <c r="M54" s="24">
        <f ca="1">'105 (5)'!M54+'105 (9)'!M54+'105 (10)'!M54+'105 (11)'!M54</f>
        <v>0</v>
      </c>
      <c r="N54" s="24">
        <f ca="1">'105 (5)'!N54+'105 (9)'!N54+'105 (10)'!N54+'105 (11)'!N54</f>
        <v>0</v>
      </c>
      <c r="O54" s="24">
        <f ca="1">'105 (5)'!O54+'105 (9)'!O54+'105 (10)'!O54+'105 (11)'!O54</f>
        <v>0</v>
      </c>
    </row>
    <row r="55" spans="1:15">
      <c r="A55" s="27"/>
      <c r="B55" s="24"/>
      <c r="C55" s="33">
        <f>Справочник!J1</f>
        <v>2019</v>
      </c>
      <c r="D55" s="24">
        <f ca="1">'105 (5)'!D55+'105 (9)'!D55+'105 (10)'!D55+'105 (11)'!D55</f>
        <v>1</v>
      </c>
      <c r="E55" s="24">
        <f ca="1">'105 (5)'!E55+'105 (9)'!E55+'105 (10)'!E55+'105 (11)'!E55</f>
        <v>0</v>
      </c>
      <c r="F55" s="24">
        <f ca="1">'105 (5)'!F55+'105 (9)'!F55+'105 (10)'!F55+'105 (11)'!F55</f>
        <v>0</v>
      </c>
      <c r="G55" s="24">
        <f ca="1">'105 (5)'!G55+'105 (9)'!G55+'105 (10)'!G55+'105 (11)'!G55</f>
        <v>0</v>
      </c>
      <c r="H55" s="24">
        <f ca="1">'105 (5)'!H55+'105 (9)'!H55+'105 (10)'!H55+'105 (11)'!H55</f>
        <v>0</v>
      </c>
      <c r="I55" s="24">
        <f ca="1">'105 (5)'!I55+'105 (9)'!I55+'105 (10)'!I55+'105 (11)'!I55</f>
        <v>0</v>
      </c>
      <c r="J55" s="24">
        <f ca="1">'105 (5)'!J55+'105 (9)'!J55+'105 (10)'!J55+'105 (11)'!J55</f>
        <v>0</v>
      </c>
      <c r="K55" s="24">
        <f ca="1">'105 (5)'!K55+'105 (9)'!K55+'105 (10)'!K55+'105 (11)'!K55</f>
        <v>0</v>
      </c>
      <c r="L55" s="24">
        <f ca="1">'105 (5)'!L55+'105 (9)'!L55+'105 (10)'!L55+'105 (11)'!L55</f>
        <v>0</v>
      </c>
      <c r="M55" s="24">
        <f ca="1">'105 (5)'!M55+'105 (9)'!M55+'105 (10)'!M55+'105 (11)'!M55</f>
        <v>0</v>
      </c>
      <c r="N55" s="24">
        <f ca="1">'105 (5)'!N55+'105 (9)'!N55+'105 (10)'!N55+'105 (11)'!N55</f>
        <v>0</v>
      </c>
      <c r="O55" s="24">
        <f ca="1">'105 (5)'!O55+'105 (9)'!O55+'105 (10)'!O55+'105 (11)'!O55</f>
        <v>0</v>
      </c>
    </row>
    <row r="56" spans="1:15">
      <c r="A56" s="25" t="s">
        <v>365</v>
      </c>
      <c r="C56" s="23">
        <f>Справочник!J2</f>
        <v>2018</v>
      </c>
      <c r="D56" s="24">
        <f ca="1">'105 (5)'!D56+'105 (9)'!D56+'105 (10)'!D56+'105 (11)'!D56</f>
        <v>55</v>
      </c>
      <c r="E56" s="24">
        <f ca="1">'105 (5)'!E56+'105 (9)'!E56+'105 (10)'!E56+'105 (11)'!E56</f>
        <v>0</v>
      </c>
      <c r="F56" s="24">
        <f ca="1">'105 (5)'!F56+'105 (9)'!F56+'105 (10)'!F56+'105 (11)'!F56</f>
        <v>0</v>
      </c>
      <c r="G56" s="24">
        <f ca="1">'105 (5)'!G56+'105 (9)'!G56+'105 (10)'!G56+'105 (11)'!G56</f>
        <v>0</v>
      </c>
      <c r="H56" s="24">
        <f ca="1">'105 (5)'!H56+'105 (9)'!H56+'105 (10)'!H56+'105 (11)'!H56</f>
        <v>0</v>
      </c>
      <c r="I56" s="24">
        <f ca="1">'105 (5)'!I56+'105 (9)'!I56+'105 (10)'!I56+'105 (11)'!I56</f>
        <v>0</v>
      </c>
      <c r="J56" s="24">
        <f ca="1">'105 (5)'!J56+'105 (9)'!J56+'105 (10)'!J56+'105 (11)'!J56</f>
        <v>0</v>
      </c>
      <c r="K56" s="24">
        <f ca="1">'105 (5)'!K56+'105 (9)'!K56+'105 (10)'!K56+'105 (11)'!K56</f>
        <v>0</v>
      </c>
      <c r="L56" s="24">
        <f ca="1">'105 (5)'!L56+'105 (9)'!L56+'105 (10)'!L56+'105 (11)'!L56</f>
        <v>0</v>
      </c>
      <c r="M56" s="24">
        <f ca="1">'105 (5)'!M56+'105 (9)'!M56+'105 (10)'!M56+'105 (11)'!M56</f>
        <v>0</v>
      </c>
      <c r="N56" s="24">
        <f ca="1">'105 (5)'!N56+'105 (9)'!N56+'105 (10)'!N56+'105 (11)'!N56</f>
        <v>0</v>
      </c>
      <c r="O56" s="24">
        <f ca="1">'105 (5)'!O56+'105 (9)'!O56+'105 (10)'!O56+'105 (11)'!O56</f>
        <v>0</v>
      </c>
    </row>
    <row r="57" spans="1:15">
      <c r="A57" s="27"/>
      <c r="B57" s="24" t="s">
        <v>119</v>
      </c>
      <c r="C57" s="33">
        <f>Справочник!J1</f>
        <v>2019</v>
      </c>
      <c r="D57" s="24">
        <f ca="1">'105 (5)'!D57+'105 (9)'!D57+'105 (10)'!D57+'105 (11)'!D57</f>
        <v>16</v>
      </c>
      <c r="E57" s="24">
        <f ca="1">'105 (5)'!E57+'105 (9)'!E57+'105 (10)'!E57+'105 (11)'!E57</f>
        <v>0</v>
      </c>
      <c r="F57" s="24">
        <f ca="1">'105 (5)'!F57+'105 (9)'!F57+'105 (10)'!F57+'105 (11)'!F57</f>
        <v>0</v>
      </c>
      <c r="G57" s="24">
        <f ca="1">'105 (5)'!G57+'105 (9)'!G57+'105 (10)'!G57+'105 (11)'!G57</f>
        <v>0</v>
      </c>
      <c r="H57" s="24">
        <f ca="1">'105 (5)'!H57+'105 (9)'!H57+'105 (10)'!H57+'105 (11)'!H57</f>
        <v>0</v>
      </c>
      <c r="I57" s="24">
        <f ca="1">'105 (5)'!I57+'105 (9)'!I57+'105 (10)'!I57+'105 (11)'!I57</f>
        <v>0</v>
      </c>
      <c r="J57" s="24">
        <f ca="1">'105 (5)'!J57+'105 (9)'!J57+'105 (10)'!J57+'105 (11)'!J57</f>
        <v>0</v>
      </c>
      <c r="K57" s="24">
        <f ca="1">'105 (5)'!K57+'105 (9)'!K57+'105 (10)'!K57+'105 (11)'!K57</f>
        <v>0</v>
      </c>
      <c r="L57" s="24">
        <f ca="1">'105 (5)'!L57+'105 (9)'!L57+'105 (10)'!L57+'105 (11)'!L57</f>
        <v>0</v>
      </c>
      <c r="M57" s="24">
        <f ca="1">'105 (5)'!M57+'105 (9)'!M57+'105 (10)'!M57+'105 (11)'!M57</f>
        <v>0</v>
      </c>
      <c r="N57" s="24">
        <f ca="1">'105 (5)'!N57+'105 (9)'!N57+'105 (10)'!N57+'105 (11)'!N57</f>
        <v>0</v>
      </c>
      <c r="O57" s="24">
        <f ca="1">'105 (5)'!O57+'105 (9)'!O57+'105 (10)'!O57+'105 (11)'!O57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4">
        <f ca="1">'105 (5)'!D58+'105 (9)'!D58+'105 (10)'!D58+'105 (11)'!D58</f>
        <v>15</v>
      </c>
      <c r="E58" s="24">
        <f ca="1">'105 (5)'!E58+'105 (9)'!E58+'105 (10)'!E58+'105 (11)'!E58</f>
        <v>0</v>
      </c>
      <c r="F58" s="24">
        <f ca="1">'105 (5)'!F58+'105 (9)'!F58+'105 (10)'!F58+'105 (11)'!F58</f>
        <v>0</v>
      </c>
      <c r="G58" s="24">
        <f ca="1">'105 (5)'!G58+'105 (9)'!G58+'105 (10)'!G58+'105 (11)'!G58</f>
        <v>0</v>
      </c>
      <c r="H58" s="24">
        <f ca="1">'105 (5)'!H58+'105 (9)'!H58+'105 (10)'!H58+'105 (11)'!H58</f>
        <v>0</v>
      </c>
      <c r="I58" s="24">
        <f ca="1">'105 (5)'!I58+'105 (9)'!I58+'105 (10)'!I58+'105 (11)'!I58</f>
        <v>0</v>
      </c>
      <c r="J58" s="24">
        <f ca="1">'105 (5)'!J58+'105 (9)'!J58+'105 (10)'!J58+'105 (11)'!J58</f>
        <v>0</v>
      </c>
      <c r="K58" s="24">
        <f ca="1">'105 (5)'!K58+'105 (9)'!K58+'105 (10)'!K58+'105 (11)'!K58</f>
        <v>0</v>
      </c>
      <c r="L58" s="24">
        <f ca="1">'105 (5)'!L58+'105 (9)'!L58+'105 (10)'!L58+'105 (11)'!L58</f>
        <v>0</v>
      </c>
      <c r="M58" s="24">
        <f ca="1">'105 (5)'!M58+'105 (9)'!M58+'105 (10)'!M58+'105 (11)'!M58</f>
        <v>0</v>
      </c>
      <c r="N58" s="24">
        <f ca="1">'105 (5)'!N58+'105 (9)'!N58+'105 (10)'!N58+'105 (11)'!N58</f>
        <v>0</v>
      </c>
      <c r="O58" s="24">
        <f ca="1">'105 (5)'!O58+'105 (9)'!O58+'105 (10)'!O58+'105 (11)'!O58</f>
        <v>0</v>
      </c>
    </row>
    <row r="59" spans="1:15">
      <c r="A59" s="27"/>
      <c r="C59" s="33">
        <f>Справочник!J1</f>
        <v>2019</v>
      </c>
      <c r="D59" s="24">
        <f ca="1">'105 (5)'!D59+'105 (9)'!D59+'105 (10)'!D59+'105 (11)'!D59</f>
        <v>3</v>
      </c>
      <c r="E59" s="24">
        <f ca="1">'105 (5)'!E59+'105 (9)'!E59+'105 (10)'!E59+'105 (11)'!E59</f>
        <v>0</v>
      </c>
      <c r="F59" s="24">
        <f ca="1">'105 (5)'!F59+'105 (9)'!F59+'105 (10)'!F59+'105 (11)'!F59</f>
        <v>0</v>
      </c>
      <c r="G59" s="24">
        <f ca="1">'105 (5)'!G59+'105 (9)'!G59+'105 (10)'!G59+'105 (11)'!G59</f>
        <v>0</v>
      </c>
      <c r="H59" s="24">
        <f ca="1">'105 (5)'!H59+'105 (9)'!H59+'105 (10)'!H59+'105 (11)'!H59</f>
        <v>0</v>
      </c>
      <c r="I59" s="24">
        <f ca="1">'105 (5)'!I59+'105 (9)'!I59+'105 (10)'!I59+'105 (11)'!I59</f>
        <v>0</v>
      </c>
      <c r="J59" s="24">
        <f ca="1">'105 (5)'!J59+'105 (9)'!J59+'105 (10)'!J59+'105 (11)'!J59</f>
        <v>0</v>
      </c>
      <c r="K59" s="24">
        <f ca="1">'105 (5)'!K59+'105 (9)'!K59+'105 (10)'!K59+'105 (11)'!K59</f>
        <v>0</v>
      </c>
      <c r="L59" s="24">
        <f ca="1">'105 (5)'!L59+'105 (9)'!L59+'105 (10)'!L59+'105 (11)'!L59</f>
        <v>0</v>
      </c>
      <c r="M59" s="24">
        <f ca="1">'105 (5)'!M59+'105 (9)'!M59+'105 (10)'!M59+'105 (11)'!M59</f>
        <v>0</v>
      </c>
      <c r="N59" s="24">
        <f ca="1">'105 (5)'!N59+'105 (9)'!N59+'105 (10)'!N59+'105 (11)'!N59</f>
        <v>0</v>
      </c>
      <c r="O59" s="24">
        <f ca="1">'105 (5)'!O59+'105 (9)'!O59+'105 (10)'!O59+'105 (11)'!O59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150">
        <f ca="1">'105 (5)'!D61+'105 (9)'!D61+'105 (10)'!D61+'105 (11)'!D61</f>
        <v>133</v>
      </c>
      <c r="E61" s="150">
        <f ca="1">'105 (5)'!E61+'105 (9)'!E61+'105 (10)'!E61+'105 (11)'!E61</f>
        <v>0</v>
      </c>
      <c r="F61" s="150">
        <f ca="1">'105 (5)'!F61+'105 (9)'!F61+'105 (10)'!F61+'105 (11)'!F61</f>
        <v>0</v>
      </c>
      <c r="G61" s="150">
        <f ca="1">'105 (5)'!G61+'105 (9)'!G61+'105 (10)'!G61+'105 (11)'!G61</f>
        <v>0</v>
      </c>
      <c r="H61" s="150">
        <f ca="1">'105 (5)'!H61+'105 (9)'!H61+'105 (10)'!H61+'105 (11)'!H61</f>
        <v>0</v>
      </c>
      <c r="I61" s="150">
        <f ca="1">'105 (5)'!I61+'105 (9)'!I61+'105 (10)'!I61+'105 (11)'!I61</f>
        <v>0</v>
      </c>
      <c r="J61" s="150">
        <f ca="1">'105 (5)'!J61+'105 (9)'!J61+'105 (10)'!J61+'105 (11)'!J61</f>
        <v>0</v>
      </c>
      <c r="K61" s="150">
        <f ca="1">'105 (5)'!K61+'105 (9)'!K61+'105 (10)'!K61+'105 (11)'!K61</f>
        <v>0</v>
      </c>
      <c r="L61" s="150">
        <f ca="1">'105 (5)'!L61+'105 (9)'!L61+'105 (10)'!L61+'105 (11)'!L61</f>
        <v>0</v>
      </c>
      <c r="M61" s="150">
        <f ca="1">'105 (5)'!M61+'105 (9)'!M61+'105 (10)'!M61+'105 (11)'!M61</f>
        <v>0</v>
      </c>
      <c r="N61" s="150">
        <f ca="1">'105 (5)'!N61+'105 (9)'!N61+'105 (10)'!N61+'105 (11)'!N61</f>
        <v>0</v>
      </c>
      <c r="O61" s="150">
        <f ca="1">'105 (5)'!O61+'105 (9)'!O61+'105 (10)'!O61+'105 (11)'!O61</f>
        <v>0</v>
      </c>
    </row>
    <row r="62" spans="1:15">
      <c r="A62" s="91" t="s">
        <v>372</v>
      </c>
      <c r="B62" s="92"/>
      <c r="C62" s="92"/>
      <c r="D62" s="150">
        <f ca="1">'105 (5)'!D62+'105 (9)'!D62+'105 (10)'!D62+'105 (11)'!D62</f>
        <v>260</v>
      </c>
      <c r="E62" s="150">
        <f ca="1">'105 (5)'!E62+'105 (9)'!E62+'105 (10)'!E62+'105 (11)'!E62</f>
        <v>0</v>
      </c>
      <c r="F62" s="150">
        <f ca="1">'105 (5)'!F62+'105 (9)'!F62+'105 (10)'!F62+'105 (11)'!F62</f>
        <v>0</v>
      </c>
      <c r="G62" s="150">
        <f ca="1">'105 (5)'!G62+'105 (9)'!G62+'105 (10)'!G62+'105 (11)'!G62</f>
        <v>0</v>
      </c>
      <c r="H62" s="150">
        <f ca="1">'105 (5)'!H62+'105 (9)'!H62+'105 (10)'!H62+'105 (11)'!H62</f>
        <v>0</v>
      </c>
      <c r="I62" s="150">
        <f ca="1">'105 (5)'!I62+'105 (9)'!I62+'105 (10)'!I62+'105 (11)'!I62</f>
        <v>0</v>
      </c>
      <c r="J62" s="150">
        <f ca="1">'105 (5)'!J62+'105 (9)'!J62+'105 (10)'!J62+'105 (11)'!J62</f>
        <v>0</v>
      </c>
      <c r="K62" s="150">
        <f ca="1">'105 (5)'!K62+'105 (9)'!K62+'105 (10)'!K62+'105 (11)'!K62</f>
        <v>0</v>
      </c>
      <c r="L62" s="150">
        <f ca="1">'105 (5)'!L62+'105 (9)'!L62+'105 (10)'!L62+'105 (11)'!L62</f>
        <v>0</v>
      </c>
      <c r="M62" s="150">
        <f ca="1">'105 (5)'!M62+'105 (9)'!M62+'105 (10)'!M62+'105 (11)'!M62</f>
        <v>0</v>
      </c>
      <c r="N62" s="150">
        <f ca="1">'105 (5)'!N62+'105 (9)'!N62+'105 (10)'!N62+'105 (11)'!N62</f>
        <v>0</v>
      </c>
      <c r="O62" s="150">
        <f ca="1">'105 (5)'!O62+'105 (9)'!O62+'105 (10)'!O62+'105 (11)'!O62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0.33842239185750639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150">
        <f ca="1">'105 (5)'!D64+'105 (9)'!D64+'105 (10)'!D64+'105 (11)'!D64</f>
        <v>144</v>
      </c>
      <c r="E64" s="150">
        <f ca="1">'105 (5)'!E64+'105 (9)'!E64+'105 (10)'!E64+'105 (11)'!E64</f>
        <v>0</v>
      </c>
      <c r="F64" s="150">
        <f ca="1">'105 (5)'!F64+'105 (9)'!F64+'105 (10)'!F64+'105 (11)'!F64</f>
        <v>0</v>
      </c>
      <c r="G64" s="150">
        <f ca="1">'105 (5)'!G64+'105 (9)'!G64+'105 (10)'!G64+'105 (11)'!G64</f>
        <v>0</v>
      </c>
      <c r="H64" s="150">
        <f ca="1">'105 (5)'!H64+'105 (9)'!H64+'105 (10)'!H64+'105 (11)'!H64</f>
        <v>0</v>
      </c>
      <c r="I64" s="150">
        <f ca="1">'105 (5)'!I64+'105 (9)'!I64+'105 (10)'!I64+'105 (11)'!I64</f>
        <v>0</v>
      </c>
      <c r="J64" s="150">
        <f ca="1">'105 (5)'!J64+'105 (9)'!J64+'105 (10)'!J64+'105 (11)'!J64</f>
        <v>0</v>
      </c>
      <c r="K64" s="150">
        <f ca="1">'105 (5)'!K64+'105 (9)'!K64+'105 (10)'!K64+'105 (11)'!K64</f>
        <v>0</v>
      </c>
      <c r="L64" s="150">
        <f ca="1">'105 (5)'!L64+'105 (9)'!L64+'105 (10)'!L64+'105 (11)'!L64</f>
        <v>0</v>
      </c>
      <c r="M64" s="150">
        <f ca="1">'105 (5)'!M64+'105 (9)'!M64+'105 (10)'!M64+'105 (11)'!M64</f>
        <v>0</v>
      </c>
      <c r="N64" s="150">
        <f ca="1">'105 (5)'!N64+'105 (9)'!N64+'105 (10)'!N64+'105 (11)'!N64</f>
        <v>0</v>
      </c>
      <c r="O64" s="150">
        <f ca="1">'105 (5)'!O64+'105 (9)'!O64+'105 (10)'!O64+'105 (11)'!O64</f>
        <v>0</v>
      </c>
    </row>
    <row r="65" spans="1:15">
      <c r="A65" s="100" t="s">
        <v>372</v>
      </c>
      <c r="B65" s="97"/>
      <c r="C65" s="97"/>
      <c r="D65" s="150">
        <f ca="1">'105 (5)'!D65+'105 (9)'!D65+'105 (10)'!D65+'105 (11)'!D65</f>
        <v>265</v>
      </c>
      <c r="E65" s="150">
        <f ca="1">'105 (5)'!E65+'105 (9)'!E65+'105 (10)'!E65+'105 (11)'!E65</f>
        <v>0</v>
      </c>
      <c r="F65" s="150">
        <f ca="1">'105 (5)'!F65+'105 (9)'!F65+'105 (10)'!F65+'105 (11)'!F65</f>
        <v>0</v>
      </c>
      <c r="G65" s="150">
        <f ca="1">'105 (5)'!G65+'105 (9)'!G65+'105 (10)'!G65+'105 (11)'!G65</f>
        <v>0</v>
      </c>
      <c r="H65" s="150">
        <f ca="1">'105 (5)'!H65+'105 (9)'!H65+'105 (10)'!H65+'105 (11)'!H65</f>
        <v>0</v>
      </c>
      <c r="I65" s="150">
        <f ca="1">'105 (5)'!I65+'105 (9)'!I65+'105 (10)'!I65+'105 (11)'!I65</f>
        <v>0</v>
      </c>
      <c r="J65" s="150">
        <f ca="1">'105 (5)'!J65+'105 (9)'!J65+'105 (10)'!J65+'105 (11)'!J65</f>
        <v>0</v>
      </c>
      <c r="K65" s="150">
        <f ca="1">'105 (5)'!K65+'105 (9)'!K65+'105 (10)'!K65+'105 (11)'!K65</f>
        <v>0</v>
      </c>
      <c r="L65" s="150">
        <f ca="1">'105 (5)'!L65+'105 (9)'!L65+'105 (10)'!L65+'105 (11)'!L65</f>
        <v>0</v>
      </c>
      <c r="M65" s="150">
        <f ca="1">'105 (5)'!M65+'105 (9)'!M65+'105 (10)'!M65+'105 (11)'!M65</f>
        <v>0</v>
      </c>
      <c r="N65" s="150">
        <f ca="1">'105 (5)'!N65+'105 (9)'!N65+'105 (10)'!N65+'105 (11)'!N65</f>
        <v>0</v>
      </c>
      <c r="O65" s="150">
        <f ca="1">'105 (5)'!O65+'105 (9)'!O65+'105 (10)'!O65+'105 (11)'!O65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0.35207823960880197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150">
        <f ca="1">'105 (5)'!D67+'105 (9)'!D67+'105 (10)'!D67+'105 (11)'!D67</f>
        <v>55</v>
      </c>
      <c r="E67" s="150">
        <f ca="1">'105 (5)'!E67+'105 (9)'!E67+'105 (10)'!E67+'105 (11)'!E67</f>
        <v>0</v>
      </c>
      <c r="F67" s="150">
        <f ca="1">'105 (5)'!F67+'105 (9)'!F67+'105 (10)'!F67+'105 (11)'!F67</f>
        <v>0</v>
      </c>
      <c r="G67" s="150">
        <f ca="1">'105 (5)'!G67+'105 (9)'!G67+'105 (10)'!G67+'105 (11)'!G67</f>
        <v>0</v>
      </c>
      <c r="H67" s="150">
        <f ca="1">'105 (5)'!H67+'105 (9)'!H67+'105 (10)'!H67+'105 (11)'!H67</f>
        <v>0</v>
      </c>
      <c r="I67" s="150">
        <f ca="1">'105 (5)'!I67+'105 (9)'!I67+'105 (10)'!I67+'105 (11)'!I67</f>
        <v>0</v>
      </c>
      <c r="J67" s="150">
        <f ca="1">'105 (5)'!J67+'105 (9)'!J67+'105 (10)'!J67+'105 (11)'!J67</f>
        <v>0</v>
      </c>
      <c r="K67" s="150">
        <f ca="1">'105 (5)'!K67+'105 (9)'!K67+'105 (10)'!K67+'105 (11)'!K67</f>
        <v>0</v>
      </c>
      <c r="L67" s="150">
        <f ca="1">'105 (5)'!L67+'105 (9)'!L67+'105 (10)'!L67+'105 (11)'!L67</f>
        <v>0</v>
      </c>
      <c r="M67" s="150">
        <f ca="1">'105 (5)'!M67+'105 (9)'!M67+'105 (10)'!M67+'105 (11)'!M67</f>
        <v>0</v>
      </c>
      <c r="N67" s="150">
        <f ca="1">'105 (5)'!N67+'105 (9)'!N67+'105 (10)'!N67+'105 (11)'!N67</f>
        <v>0</v>
      </c>
      <c r="O67" s="150">
        <f ca="1">'105 (5)'!O67+'105 (9)'!O67+'105 (10)'!O67+'105 (11)'!O67</f>
        <v>0</v>
      </c>
    </row>
    <row r="68" spans="1:15">
      <c r="A68" s="91" t="s">
        <v>372</v>
      </c>
      <c r="B68" s="92"/>
      <c r="C68" s="92"/>
      <c r="D68" s="150">
        <f ca="1">'105 (5)'!D68+'105 (9)'!D68+'105 (10)'!D68+'105 (11)'!D68</f>
        <v>43</v>
      </c>
      <c r="E68" s="150">
        <f ca="1">'105 (5)'!E68+'105 (9)'!E68+'105 (10)'!E68+'105 (11)'!E68</f>
        <v>0</v>
      </c>
      <c r="F68" s="150">
        <f ca="1">'105 (5)'!F68+'105 (9)'!F68+'105 (10)'!F68+'105 (11)'!F68</f>
        <v>0</v>
      </c>
      <c r="G68" s="150">
        <f ca="1">'105 (5)'!G68+'105 (9)'!G68+'105 (10)'!G68+'105 (11)'!G68</f>
        <v>0</v>
      </c>
      <c r="H68" s="150">
        <f ca="1">'105 (5)'!H68+'105 (9)'!H68+'105 (10)'!H68+'105 (11)'!H68</f>
        <v>0</v>
      </c>
      <c r="I68" s="150">
        <f ca="1">'105 (5)'!I68+'105 (9)'!I68+'105 (10)'!I68+'105 (11)'!I68</f>
        <v>0</v>
      </c>
      <c r="J68" s="150">
        <f ca="1">'105 (5)'!J68+'105 (9)'!J68+'105 (10)'!J68+'105 (11)'!J68</f>
        <v>0</v>
      </c>
      <c r="K68" s="150">
        <f ca="1">'105 (5)'!K68+'105 (9)'!K68+'105 (10)'!K68+'105 (11)'!K68</f>
        <v>0</v>
      </c>
      <c r="L68" s="150">
        <f ca="1">'105 (5)'!L68+'105 (9)'!L68+'105 (10)'!L68+'105 (11)'!L68</f>
        <v>0</v>
      </c>
      <c r="M68" s="150">
        <f ca="1">'105 (5)'!M68+'105 (9)'!M68+'105 (10)'!M68+'105 (11)'!M68</f>
        <v>0</v>
      </c>
      <c r="N68" s="150">
        <f ca="1">'105 (5)'!N68+'105 (9)'!N68+'105 (10)'!N68+'105 (11)'!N68</f>
        <v>0</v>
      </c>
      <c r="O68" s="150">
        <f ca="1">'105 (5)'!O68+'105 (9)'!O68+'105 (10)'!O68+'105 (11)'!O68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0.56122448979591832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150">
        <f ca="1">'105 (5)'!D70+'105 (9)'!D70+'105 (10)'!D70+'105 (11)'!D70</f>
        <v>16</v>
      </c>
      <c r="E70" s="150">
        <f ca="1">'105 (5)'!E70+'105 (9)'!E70+'105 (10)'!E70+'105 (11)'!E70</f>
        <v>0</v>
      </c>
      <c r="F70" s="150">
        <f ca="1">'105 (5)'!F70+'105 (9)'!F70+'105 (10)'!F70+'105 (11)'!F70</f>
        <v>0</v>
      </c>
      <c r="G70" s="150">
        <f ca="1">'105 (5)'!G70+'105 (9)'!G70+'105 (10)'!G70+'105 (11)'!G70</f>
        <v>0</v>
      </c>
      <c r="H70" s="150">
        <f ca="1">'105 (5)'!H70+'105 (9)'!H70+'105 (10)'!H70+'105 (11)'!H70</f>
        <v>0</v>
      </c>
      <c r="I70" s="150">
        <f ca="1">'105 (5)'!I70+'105 (9)'!I70+'105 (10)'!I70+'105 (11)'!I70</f>
        <v>0</v>
      </c>
      <c r="J70" s="150">
        <f ca="1">'105 (5)'!J70+'105 (9)'!J70+'105 (10)'!J70+'105 (11)'!J70</f>
        <v>0</v>
      </c>
      <c r="K70" s="150">
        <f ca="1">'105 (5)'!K70+'105 (9)'!K70+'105 (10)'!K70+'105 (11)'!K70</f>
        <v>0</v>
      </c>
      <c r="L70" s="150">
        <f ca="1">'105 (5)'!L70+'105 (9)'!L70+'105 (10)'!L70+'105 (11)'!L70</f>
        <v>0</v>
      </c>
      <c r="M70" s="150">
        <f ca="1">'105 (5)'!M70+'105 (9)'!M70+'105 (10)'!M70+'105 (11)'!M70</f>
        <v>0</v>
      </c>
      <c r="N70" s="150">
        <f ca="1">'105 (5)'!N70+'105 (9)'!N70+'105 (10)'!N70+'105 (11)'!N70</f>
        <v>0</v>
      </c>
      <c r="O70" s="150">
        <f ca="1">'105 (5)'!O70+'105 (9)'!O70+'105 (10)'!O70+'105 (11)'!O70</f>
        <v>0</v>
      </c>
    </row>
    <row r="71" spans="1:15">
      <c r="A71" s="100" t="s">
        <v>372</v>
      </c>
      <c r="B71" s="97"/>
      <c r="C71" s="97"/>
      <c r="D71" s="150">
        <f ca="1">'105 (5)'!D71+'105 (9)'!D71+'105 (10)'!D71+'105 (11)'!D71</f>
        <v>63</v>
      </c>
      <c r="E71" s="150">
        <f ca="1">'105 (5)'!E71+'105 (9)'!E71+'105 (10)'!E71+'105 (11)'!E71</f>
        <v>0</v>
      </c>
      <c r="F71" s="150">
        <f ca="1">'105 (5)'!F71+'105 (9)'!F71+'105 (10)'!F71+'105 (11)'!F71</f>
        <v>0</v>
      </c>
      <c r="G71" s="150">
        <f ca="1">'105 (5)'!G71+'105 (9)'!G71+'105 (10)'!G71+'105 (11)'!G71</f>
        <v>0</v>
      </c>
      <c r="H71" s="150">
        <f ca="1">'105 (5)'!H71+'105 (9)'!H71+'105 (10)'!H71+'105 (11)'!H71</f>
        <v>0</v>
      </c>
      <c r="I71" s="150">
        <f ca="1">'105 (5)'!I71+'105 (9)'!I71+'105 (10)'!I71+'105 (11)'!I71</f>
        <v>0</v>
      </c>
      <c r="J71" s="150">
        <f ca="1">'105 (5)'!J71+'105 (9)'!J71+'105 (10)'!J71+'105 (11)'!J71</f>
        <v>0</v>
      </c>
      <c r="K71" s="150">
        <f ca="1">'105 (5)'!K71+'105 (9)'!K71+'105 (10)'!K71+'105 (11)'!K71</f>
        <v>0</v>
      </c>
      <c r="L71" s="150">
        <f ca="1">'105 (5)'!L71+'105 (9)'!L71+'105 (10)'!L71+'105 (11)'!L71</f>
        <v>0</v>
      </c>
      <c r="M71" s="150">
        <f ca="1">'105 (5)'!M71+'105 (9)'!M71+'105 (10)'!M71+'105 (11)'!M71</f>
        <v>0</v>
      </c>
      <c r="N71" s="150">
        <f ca="1">'105 (5)'!N71+'105 (9)'!N71+'105 (10)'!N71+'105 (11)'!N71</f>
        <v>0</v>
      </c>
      <c r="O71" s="150">
        <f ca="1">'105 (5)'!O71+'105 (9)'!O71+'105 (10)'!O71+'105 (11)'!O71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0.20253164556962025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150">
        <f ca="1">'105 (5)'!D73+'105 (9)'!D73+'105 (10)'!D73+'105 (11)'!D73</f>
        <v>0</v>
      </c>
      <c r="E73" s="150">
        <f ca="1">'105 (5)'!E73+'105 (9)'!E73+'105 (10)'!E73+'105 (11)'!E73</f>
        <v>0</v>
      </c>
      <c r="F73" s="150">
        <f ca="1">'105 (5)'!F73+'105 (9)'!F73+'105 (10)'!F73+'105 (11)'!F73</f>
        <v>0</v>
      </c>
      <c r="G73" s="150">
        <f ca="1">'105 (5)'!G73+'105 (9)'!G73+'105 (10)'!G73+'105 (11)'!G73</f>
        <v>0</v>
      </c>
      <c r="H73" s="150">
        <f ca="1">'105 (5)'!H73+'105 (9)'!H73+'105 (10)'!H73+'105 (11)'!H73</f>
        <v>0</v>
      </c>
      <c r="I73" s="150">
        <f ca="1">'105 (5)'!I73+'105 (9)'!I73+'105 (10)'!I73+'105 (11)'!I73</f>
        <v>0</v>
      </c>
      <c r="J73" s="150">
        <f ca="1">'105 (5)'!J73+'105 (9)'!J73+'105 (10)'!J73+'105 (11)'!J73</f>
        <v>0</v>
      </c>
      <c r="K73" s="150">
        <f ca="1">'105 (5)'!K73+'105 (9)'!K73+'105 (10)'!K73+'105 (11)'!K73</f>
        <v>0</v>
      </c>
      <c r="L73" s="150">
        <f ca="1">'105 (5)'!L73+'105 (9)'!L73+'105 (10)'!L73+'105 (11)'!L73</f>
        <v>0</v>
      </c>
      <c r="M73" s="150">
        <f ca="1">'105 (5)'!M73+'105 (9)'!M73+'105 (10)'!M73+'105 (11)'!M73</f>
        <v>0</v>
      </c>
      <c r="N73" s="150">
        <f ca="1">'105 (5)'!N73+'105 (9)'!N73+'105 (10)'!N73+'105 (11)'!N73</f>
        <v>0</v>
      </c>
      <c r="O73" s="150">
        <f ca="1">'105 (5)'!O73+'105 (9)'!O73+'105 (10)'!O73+'105 (11)'!O73</f>
        <v>0</v>
      </c>
    </row>
    <row r="74" spans="1:15">
      <c r="A74" s="91" t="s">
        <v>372</v>
      </c>
      <c r="B74" s="92"/>
      <c r="C74" s="92"/>
      <c r="D74" s="150">
        <f ca="1">'105 (5)'!D74+'105 (9)'!D74+'105 (10)'!D74+'105 (11)'!D74</f>
        <v>0</v>
      </c>
      <c r="E74" s="150">
        <f ca="1">'105 (5)'!E74+'105 (9)'!E74+'105 (10)'!E74+'105 (11)'!E74</f>
        <v>0</v>
      </c>
      <c r="F74" s="150">
        <f ca="1">'105 (5)'!F74+'105 (9)'!F74+'105 (10)'!F74+'105 (11)'!F74</f>
        <v>0</v>
      </c>
      <c r="G74" s="150">
        <f ca="1">'105 (5)'!G74+'105 (9)'!G74+'105 (10)'!G74+'105 (11)'!G74</f>
        <v>0</v>
      </c>
      <c r="H74" s="150">
        <f ca="1">'105 (5)'!H74+'105 (9)'!H74+'105 (10)'!H74+'105 (11)'!H74</f>
        <v>0</v>
      </c>
      <c r="I74" s="150">
        <f ca="1">'105 (5)'!I74+'105 (9)'!I74+'105 (10)'!I74+'105 (11)'!I74</f>
        <v>0</v>
      </c>
      <c r="J74" s="150">
        <f ca="1">'105 (5)'!J74+'105 (9)'!J74+'105 (10)'!J74+'105 (11)'!J74</f>
        <v>0</v>
      </c>
      <c r="K74" s="150">
        <f ca="1">'105 (5)'!K74+'105 (9)'!K74+'105 (10)'!K74+'105 (11)'!K74</f>
        <v>0</v>
      </c>
      <c r="L74" s="150">
        <f ca="1">'105 (5)'!L74+'105 (9)'!L74+'105 (10)'!L74+'105 (11)'!L74</f>
        <v>0</v>
      </c>
      <c r="M74" s="150">
        <f ca="1">'105 (5)'!M74+'105 (9)'!M74+'105 (10)'!M74+'105 (11)'!M74</f>
        <v>0</v>
      </c>
      <c r="N74" s="150">
        <f ca="1">'105 (5)'!N74+'105 (9)'!N74+'105 (10)'!N74+'105 (11)'!N74</f>
        <v>0</v>
      </c>
      <c r="O74" s="150">
        <f ca="1">'105 (5)'!O74+'105 (9)'!O74+'105 (10)'!O74+'105 (11)'!O74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150">
        <f ca="1">'105 (5)'!D76+'105 (9)'!D76+'105 (10)'!D76+'105 (11)'!D76</f>
        <v>0</v>
      </c>
      <c r="E76" s="150">
        <f ca="1">'105 (5)'!E76+'105 (9)'!E76+'105 (10)'!E76+'105 (11)'!E76</f>
        <v>0</v>
      </c>
      <c r="F76" s="150">
        <f ca="1">'105 (5)'!F76+'105 (9)'!F76+'105 (10)'!F76+'105 (11)'!F76</f>
        <v>0</v>
      </c>
      <c r="G76" s="150">
        <f ca="1">'105 (5)'!G76+'105 (9)'!G76+'105 (10)'!G76+'105 (11)'!G76</f>
        <v>0</v>
      </c>
      <c r="H76" s="150">
        <f ca="1">'105 (5)'!H76+'105 (9)'!H76+'105 (10)'!H76+'105 (11)'!H76</f>
        <v>0</v>
      </c>
      <c r="I76" s="150">
        <f ca="1">'105 (5)'!I76+'105 (9)'!I76+'105 (10)'!I76+'105 (11)'!I76</f>
        <v>0</v>
      </c>
      <c r="J76" s="150">
        <f ca="1">'105 (5)'!J76+'105 (9)'!J76+'105 (10)'!J76+'105 (11)'!J76</f>
        <v>0</v>
      </c>
      <c r="K76" s="150">
        <f ca="1">'105 (5)'!K76+'105 (9)'!K76+'105 (10)'!K76+'105 (11)'!K76</f>
        <v>0</v>
      </c>
      <c r="L76" s="150">
        <f ca="1">'105 (5)'!L76+'105 (9)'!L76+'105 (10)'!L76+'105 (11)'!L76</f>
        <v>0</v>
      </c>
      <c r="M76" s="150">
        <f ca="1">'105 (5)'!M76+'105 (9)'!M76+'105 (10)'!M76+'105 (11)'!M76</f>
        <v>0</v>
      </c>
      <c r="N76" s="150">
        <f ca="1">'105 (5)'!N76+'105 (9)'!N76+'105 (10)'!N76+'105 (11)'!N76</f>
        <v>0</v>
      </c>
      <c r="O76" s="150">
        <f ca="1">'105 (5)'!O76+'105 (9)'!O76+'105 (10)'!O76+'105 (11)'!O76</f>
        <v>0</v>
      </c>
    </row>
    <row r="77" spans="1:15">
      <c r="A77" s="100" t="s">
        <v>372</v>
      </c>
      <c r="B77" s="97"/>
      <c r="C77" s="97"/>
      <c r="D77" s="150">
        <f ca="1">'105 (5)'!D77+'105 (9)'!D77+'105 (10)'!D77+'105 (11)'!D77</f>
        <v>0</v>
      </c>
      <c r="E77" s="150">
        <f ca="1">'105 (5)'!E77+'105 (9)'!E77+'105 (10)'!E77+'105 (11)'!E77</f>
        <v>0</v>
      </c>
      <c r="F77" s="150">
        <f ca="1">'105 (5)'!F77+'105 (9)'!F77+'105 (10)'!F77+'105 (11)'!F77</f>
        <v>0</v>
      </c>
      <c r="G77" s="150">
        <f ca="1">'105 (5)'!G77+'105 (9)'!G77+'105 (10)'!G77+'105 (11)'!G77</f>
        <v>0</v>
      </c>
      <c r="H77" s="150">
        <f ca="1">'105 (5)'!H77+'105 (9)'!H77+'105 (10)'!H77+'105 (11)'!H77</f>
        <v>0</v>
      </c>
      <c r="I77" s="150">
        <f ca="1">'105 (5)'!I77+'105 (9)'!I77+'105 (10)'!I77+'105 (11)'!I77</f>
        <v>0</v>
      </c>
      <c r="J77" s="150">
        <f ca="1">'105 (5)'!J77+'105 (9)'!J77+'105 (10)'!J77+'105 (11)'!J77</f>
        <v>0</v>
      </c>
      <c r="K77" s="150">
        <f ca="1">'105 (5)'!K77+'105 (9)'!K77+'105 (10)'!K77+'105 (11)'!K77</f>
        <v>0</v>
      </c>
      <c r="L77" s="150">
        <f ca="1">'105 (5)'!L77+'105 (9)'!L77+'105 (10)'!L77+'105 (11)'!L77</f>
        <v>0</v>
      </c>
      <c r="M77" s="150">
        <f ca="1">'105 (5)'!M77+'105 (9)'!M77+'105 (10)'!M77+'105 (11)'!M77</f>
        <v>0</v>
      </c>
      <c r="N77" s="150">
        <f ca="1">'105 (5)'!N77+'105 (9)'!N77+'105 (10)'!N77+'105 (11)'!N77</f>
        <v>0</v>
      </c>
      <c r="O77" s="150">
        <f ca="1">'105 (5)'!O77+'105 (9)'!O77+'105 (10)'!O77+'105 (11)'!O77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150">
        <f ca="1">'105 (5)'!D79+'105 (9)'!D79+'105 (10)'!D79+'105 (11)'!D79</f>
        <v>1</v>
      </c>
      <c r="E79" s="150">
        <f ca="1">'105 (5)'!E79+'105 (9)'!E79+'105 (10)'!E79+'105 (11)'!E79</f>
        <v>0</v>
      </c>
      <c r="F79" s="150">
        <f ca="1">'105 (5)'!F79+'105 (9)'!F79+'105 (10)'!F79+'105 (11)'!F79</f>
        <v>0</v>
      </c>
      <c r="G79" s="150">
        <f ca="1">'105 (5)'!G79+'105 (9)'!G79+'105 (10)'!G79+'105 (11)'!G79</f>
        <v>0</v>
      </c>
      <c r="H79" s="150">
        <f ca="1">'105 (5)'!H79+'105 (9)'!H79+'105 (10)'!H79+'105 (11)'!H79</f>
        <v>0</v>
      </c>
      <c r="I79" s="150">
        <f ca="1">'105 (5)'!I79+'105 (9)'!I79+'105 (10)'!I79+'105 (11)'!I79</f>
        <v>0</v>
      </c>
      <c r="J79" s="150">
        <f ca="1">'105 (5)'!J79+'105 (9)'!J79+'105 (10)'!J79+'105 (11)'!J79</f>
        <v>0</v>
      </c>
      <c r="K79" s="150">
        <f ca="1">'105 (5)'!K79+'105 (9)'!K79+'105 (10)'!K79+'105 (11)'!K79</f>
        <v>0</v>
      </c>
      <c r="L79" s="150">
        <f ca="1">'105 (5)'!L79+'105 (9)'!L79+'105 (10)'!L79+'105 (11)'!L79</f>
        <v>0</v>
      </c>
      <c r="M79" s="150">
        <f ca="1">'105 (5)'!M79+'105 (9)'!M79+'105 (10)'!M79+'105 (11)'!M79</f>
        <v>0</v>
      </c>
      <c r="N79" s="150">
        <f ca="1">'105 (5)'!N79+'105 (9)'!N79+'105 (10)'!N79+'105 (11)'!N79</f>
        <v>0</v>
      </c>
      <c r="O79" s="150">
        <f ca="1">'105 (5)'!O79+'105 (9)'!O79+'105 (10)'!O79+'105 (11)'!O79</f>
        <v>0</v>
      </c>
    </row>
    <row r="80" spans="1:15">
      <c r="A80" s="91" t="s">
        <v>372</v>
      </c>
      <c r="B80" s="92"/>
      <c r="C80" s="92"/>
      <c r="D80" s="150">
        <f ca="1">'105 (5)'!D80+'105 (9)'!D80+'105 (10)'!D80+'105 (11)'!D80</f>
        <v>1</v>
      </c>
      <c r="E80" s="150">
        <f ca="1">'105 (5)'!E80+'105 (9)'!E80+'105 (10)'!E80+'105 (11)'!E80</f>
        <v>0</v>
      </c>
      <c r="F80" s="150">
        <f ca="1">'105 (5)'!F80+'105 (9)'!F80+'105 (10)'!F80+'105 (11)'!F80</f>
        <v>0</v>
      </c>
      <c r="G80" s="150">
        <f ca="1">'105 (5)'!G80+'105 (9)'!G80+'105 (10)'!G80+'105 (11)'!G80</f>
        <v>0</v>
      </c>
      <c r="H80" s="150">
        <f ca="1">'105 (5)'!H80+'105 (9)'!H80+'105 (10)'!H80+'105 (11)'!H80</f>
        <v>0</v>
      </c>
      <c r="I80" s="150">
        <f ca="1">'105 (5)'!I80+'105 (9)'!I80+'105 (10)'!I80+'105 (11)'!I80</f>
        <v>0</v>
      </c>
      <c r="J80" s="150">
        <f ca="1">'105 (5)'!J80+'105 (9)'!J80+'105 (10)'!J80+'105 (11)'!J80</f>
        <v>0</v>
      </c>
      <c r="K80" s="150">
        <f ca="1">'105 (5)'!K80+'105 (9)'!K80+'105 (10)'!K80+'105 (11)'!K80</f>
        <v>0</v>
      </c>
      <c r="L80" s="150">
        <f ca="1">'105 (5)'!L80+'105 (9)'!L80+'105 (10)'!L80+'105 (11)'!L80</f>
        <v>0</v>
      </c>
      <c r="M80" s="150">
        <f ca="1">'105 (5)'!M80+'105 (9)'!M80+'105 (10)'!M80+'105 (11)'!M80</f>
        <v>0</v>
      </c>
      <c r="N80" s="150">
        <f ca="1">'105 (5)'!N80+'105 (9)'!N80+'105 (10)'!N80+'105 (11)'!N80</f>
        <v>0</v>
      </c>
      <c r="O80" s="150">
        <f ca="1">'105 (5)'!O80+'105 (9)'!O80+'105 (10)'!O80+'105 (11)'!O80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0.5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150">
        <f ca="1">'105 (5)'!D82+'105 (9)'!D82+'105 (10)'!D82+'105 (11)'!D82</f>
        <v>2</v>
      </c>
      <c r="E82" s="150">
        <f ca="1">'105 (5)'!E82+'105 (9)'!E82+'105 (10)'!E82+'105 (11)'!E82</f>
        <v>0</v>
      </c>
      <c r="F82" s="150">
        <f ca="1">'105 (5)'!F82+'105 (9)'!F82+'105 (10)'!F82+'105 (11)'!F82</f>
        <v>0</v>
      </c>
      <c r="G82" s="150">
        <f ca="1">'105 (5)'!G82+'105 (9)'!G82+'105 (10)'!G82+'105 (11)'!G82</f>
        <v>0</v>
      </c>
      <c r="H82" s="150">
        <f ca="1">'105 (5)'!H82+'105 (9)'!H82+'105 (10)'!H82+'105 (11)'!H82</f>
        <v>0</v>
      </c>
      <c r="I82" s="150">
        <f ca="1">'105 (5)'!I82+'105 (9)'!I82+'105 (10)'!I82+'105 (11)'!I82</f>
        <v>0</v>
      </c>
      <c r="J82" s="150">
        <f ca="1">'105 (5)'!J82+'105 (9)'!J82+'105 (10)'!J82+'105 (11)'!J82</f>
        <v>0</v>
      </c>
      <c r="K82" s="150">
        <f ca="1">'105 (5)'!K82+'105 (9)'!K82+'105 (10)'!K82+'105 (11)'!K82</f>
        <v>0</v>
      </c>
      <c r="L82" s="150">
        <f ca="1">'105 (5)'!L82+'105 (9)'!L82+'105 (10)'!L82+'105 (11)'!L82</f>
        <v>0</v>
      </c>
      <c r="M82" s="150">
        <f ca="1">'105 (5)'!M82+'105 (9)'!M82+'105 (10)'!M82+'105 (11)'!M82</f>
        <v>0</v>
      </c>
      <c r="N82" s="150">
        <f ca="1">'105 (5)'!N82+'105 (9)'!N82+'105 (10)'!N82+'105 (11)'!N82</f>
        <v>0</v>
      </c>
      <c r="O82" s="150">
        <f ca="1">'105 (5)'!O82+'105 (9)'!O82+'105 (10)'!O82+'105 (11)'!O82</f>
        <v>0</v>
      </c>
    </row>
    <row r="83" spans="1:15">
      <c r="A83" s="100" t="s">
        <v>372</v>
      </c>
      <c r="B83" s="97"/>
      <c r="C83" s="97"/>
      <c r="D83" s="150">
        <f ca="1">'105 (5)'!D83+'105 (9)'!D83+'105 (10)'!D83+'105 (11)'!D83</f>
        <v>3</v>
      </c>
      <c r="E83" s="150">
        <f ca="1">'105 (5)'!E83+'105 (9)'!E83+'105 (10)'!E83+'105 (11)'!E83</f>
        <v>0</v>
      </c>
      <c r="F83" s="150">
        <f ca="1">'105 (5)'!F83+'105 (9)'!F83+'105 (10)'!F83+'105 (11)'!F83</f>
        <v>0</v>
      </c>
      <c r="G83" s="150">
        <f ca="1">'105 (5)'!G83+'105 (9)'!G83+'105 (10)'!G83+'105 (11)'!G83</f>
        <v>0</v>
      </c>
      <c r="H83" s="150">
        <f ca="1">'105 (5)'!H83+'105 (9)'!H83+'105 (10)'!H83+'105 (11)'!H83</f>
        <v>0</v>
      </c>
      <c r="I83" s="150">
        <f ca="1">'105 (5)'!I83+'105 (9)'!I83+'105 (10)'!I83+'105 (11)'!I83</f>
        <v>0</v>
      </c>
      <c r="J83" s="150">
        <f ca="1">'105 (5)'!J83+'105 (9)'!J83+'105 (10)'!J83+'105 (11)'!J83</f>
        <v>0</v>
      </c>
      <c r="K83" s="150">
        <f ca="1">'105 (5)'!K83+'105 (9)'!K83+'105 (10)'!K83+'105 (11)'!K83</f>
        <v>0</v>
      </c>
      <c r="L83" s="150">
        <f ca="1">'105 (5)'!L83+'105 (9)'!L83+'105 (10)'!L83+'105 (11)'!L83</f>
        <v>0</v>
      </c>
      <c r="M83" s="150">
        <f ca="1">'105 (5)'!M83+'105 (9)'!M83+'105 (10)'!M83+'105 (11)'!M83</f>
        <v>0</v>
      </c>
      <c r="N83" s="150">
        <f ca="1">'105 (5)'!N83+'105 (9)'!N83+'105 (10)'!N83+'105 (11)'!N83</f>
        <v>0</v>
      </c>
      <c r="O83" s="150">
        <f ca="1">'105 (5)'!O83+'105 (9)'!O83+'105 (10)'!O83+'105 (11)'!O83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0.4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150">
        <f ca="1">'105 (5)'!D85+'105 (9)'!D85+'105 (10)'!D85+'105 (11)'!D85</f>
        <v>0</v>
      </c>
      <c r="E85" s="150">
        <f ca="1">'105 (5)'!E85+'105 (9)'!E85+'105 (10)'!E85+'105 (11)'!E85</f>
        <v>0</v>
      </c>
      <c r="F85" s="150">
        <f ca="1">'105 (5)'!F85+'105 (9)'!F85+'105 (10)'!F85+'105 (11)'!F85</f>
        <v>0</v>
      </c>
      <c r="G85" s="150">
        <f ca="1">'105 (5)'!G85+'105 (9)'!G85+'105 (10)'!G85+'105 (11)'!G85</f>
        <v>0</v>
      </c>
      <c r="H85" s="150">
        <f ca="1">'105 (5)'!H85+'105 (9)'!H85+'105 (10)'!H85+'105 (11)'!H85</f>
        <v>0</v>
      </c>
      <c r="I85" s="150">
        <f ca="1">'105 (5)'!I85+'105 (9)'!I85+'105 (10)'!I85+'105 (11)'!I85</f>
        <v>0</v>
      </c>
      <c r="J85" s="150">
        <f ca="1">'105 (5)'!J85+'105 (9)'!J85+'105 (10)'!J85+'105 (11)'!J85</f>
        <v>0</v>
      </c>
      <c r="K85" s="150">
        <f ca="1">'105 (5)'!K85+'105 (9)'!K85+'105 (10)'!K85+'105 (11)'!K85</f>
        <v>0</v>
      </c>
      <c r="L85" s="150">
        <f ca="1">'105 (5)'!L85+'105 (9)'!L85+'105 (10)'!L85+'105 (11)'!L85</f>
        <v>0</v>
      </c>
      <c r="M85" s="150">
        <f ca="1">'105 (5)'!M85+'105 (9)'!M85+'105 (10)'!M85+'105 (11)'!M85</f>
        <v>0</v>
      </c>
      <c r="N85" s="150">
        <f ca="1">'105 (5)'!N85+'105 (9)'!N85+'105 (10)'!N85+'105 (11)'!N85</f>
        <v>0</v>
      </c>
      <c r="O85" s="150">
        <f ca="1">'105 (5)'!O85+'105 (9)'!O85+'105 (10)'!O85+'105 (11)'!O85</f>
        <v>0</v>
      </c>
    </row>
    <row r="86" spans="1:15">
      <c r="A86" s="91" t="s">
        <v>372</v>
      </c>
      <c r="B86" s="92"/>
      <c r="C86" s="92"/>
      <c r="D86" s="150">
        <f ca="1">'105 (5)'!D86+'105 (9)'!D86+'105 (10)'!D86+'105 (11)'!D86</f>
        <v>1</v>
      </c>
      <c r="E86" s="150">
        <f ca="1">'105 (5)'!E86+'105 (9)'!E86+'105 (10)'!E86+'105 (11)'!E86</f>
        <v>0</v>
      </c>
      <c r="F86" s="150">
        <f ca="1">'105 (5)'!F86+'105 (9)'!F86+'105 (10)'!F86+'105 (11)'!F86</f>
        <v>0</v>
      </c>
      <c r="G86" s="150">
        <f ca="1">'105 (5)'!G86+'105 (9)'!G86+'105 (10)'!G86+'105 (11)'!G86</f>
        <v>0</v>
      </c>
      <c r="H86" s="150">
        <f ca="1">'105 (5)'!H86+'105 (9)'!H86+'105 (10)'!H86+'105 (11)'!H86</f>
        <v>0</v>
      </c>
      <c r="I86" s="150">
        <f ca="1">'105 (5)'!I86+'105 (9)'!I86+'105 (10)'!I86+'105 (11)'!I86</f>
        <v>0</v>
      </c>
      <c r="J86" s="150">
        <f ca="1">'105 (5)'!J86+'105 (9)'!J86+'105 (10)'!J86+'105 (11)'!J86</f>
        <v>0</v>
      </c>
      <c r="K86" s="150">
        <f ca="1">'105 (5)'!K86+'105 (9)'!K86+'105 (10)'!K86+'105 (11)'!K86</f>
        <v>0</v>
      </c>
      <c r="L86" s="150">
        <f ca="1">'105 (5)'!L86+'105 (9)'!L86+'105 (10)'!L86+'105 (11)'!L86</f>
        <v>0</v>
      </c>
      <c r="M86" s="150">
        <f ca="1">'105 (5)'!M86+'105 (9)'!M86+'105 (10)'!M86+'105 (11)'!M86</f>
        <v>0</v>
      </c>
      <c r="N86" s="150">
        <f ca="1">'105 (5)'!N86+'105 (9)'!N86+'105 (10)'!N86+'105 (11)'!N86</f>
        <v>0</v>
      </c>
      <c r="O86" s="150">
        <f ca="1">'105 (5)'!O86+'105 (9)'!O86+'105 (10)'!O86+'105 (11)'!O86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150">
        <f ca="1">'105 (5)'!D88+'105 (9)'!D88+'105 (10)'!D88+'105 (11)'!D88</f>
        <v>3</v>
      </c>
      <c r="E88" s="150">
        <f ca="1">'105 (5)'!E88+'105 (9)'!E88+'105 (10)'!E88+'105 (11)'!E88</f>
        <v>0</v>
      </c>
      <c r="F88" s="150">
        <f ca="1">'105 (5)'!F88+'105 (9)'!F88+'105 (10)'!F88+'105 (11)'!F88</f>
        <v>0</v>
      </c>
      <c r="G88" s="150">
        <f ca="1">'105 (5)'!G88+'105 (9)'!G88+'105 (10)'!G88+'105 (11)'!G88</f>
        <v>0</v>
      </c>
      <c r="H88" s="150">
        <f ca="1">'105 (5)'!H88+'105 (9)'!H88+'105 (10)'!H88+'105 (11)'!H88</f>
        <v>0</v>
      </c>
      <c r="I88" s="150">
        <f ca="1">'105 (5)'!I88+'105 (9)'!I88+'105 (10)'!I88+'105 (11)'!I88</f>
        <v>0</v>
      </c>
      <c r="J88" s="150">
        <f ca="1">'105 (5)'!J88+'105 (9)'!J88+'105 (10)'!J88+'105 (11)'!J88</f>
        <v>0</v>
      </c>
      <c r="K88" s="150">
        <f ca="1">'105 (5)'!K88+'105 (9)'!K88+'105 (10)'!K88+'105 (11)'!K88</f>
        <v>0</v>
      </c>
      <c r="L88" s="150">
        <f ca="1">'105 (5)'!L88+'105 (9)'!L88+'105 (10)'!L88+'105 (11)'!L88</f>
        <v>0</v>
      </c>
      <c r="M88" s="150">
        <f ca="1">'105 (5)'!M88+'105 (9)'!M88+'105 (10)'!M88+'105 (11)'!M88</f>
        <v>0</v>
      </c>
      <c r="N88" s="150">
        <f ca="1">'105 (5)'!N88+'105 (9)'!N88+'105 (10)'!N88+'105 (11)'!N88</f>
        <v>0</v>
      </c>
      <c r="O88" s="150">
        <f ca="1">'105 (5)'!O88+'105 (9)'!O88+'105 (10)'!O88+'105 (11)'!O88</f>
        <v>0</v>
      </c>
    </row>
    <row r="89" spans="1:15">
      <c r="A89" s="100" t="s">
        <v>372</v>
      </c>
      <c r="B89" s="97"/>
      <c r="C89" s="97"/>
      <c r="D89" s="150">
        <f ca="1">'105 (5)'!D89+'105 (9)'!D89+'105 (10)'!D89+'105 (11)'!D89</f>
        <v>0</v>
      </c>
      <c r="E89" s="150">
        <f ca="1">'105 (5)'!E89+'105 (9)'!E89+'105 (10)'!E89+'105 (11)'!E89</f>
        <v>0</v>
      </c>
      <c r="F89" s="150">
        <f ca="1">'105 (5)'!F89+'105 (9)'!F89+'105 (10)'!F89+'105 (11)'!F89</f>
        <v>0</v>
      </c>
      <c r="G89" s="150">
        <f ca="1">'105 (5)'!G89+'105 (9)'!G89+'105 (10)'!G89+'105 (11)'!G89</f>
        <v>0</v>
      </c>
      <c r="H89" s="150">
        <f ca="1">'105 (5)'!H89+'105 (9)'!H89+'105 (10)'!H89+'105 (11)'!H89</f>
        <v>0</v>
      </c>
      <c r="I89" s="150">
        <f ca="1">'105 (5)'!I89+'105 (9)'!I89+'105 (10)'!I89+'105 (11)'!I89</f>
        <v>0</v>
      </c>
      <c r="J89" s="150">
        <f ca="1">'105 (5)'!J89+'105 (9)'!J89+'105 (10)'!J89+'105 (11)'!J89</f>
        <v>0</v>
      </c>
      <c r="K89" s="150">
        <f ca="1">'105 (5)'!K89+'105 (9)'!K89+'105 (10)'!K89+'105 (11)'!K89</f>
        <v>0</v>
      </c>
      <c r="L89" s="150">
        <f ca="1">'105 (5)'!L89+'105 (9)'!L89+'105 (10)'!L89+'105 (11)'!L89</f>
        <v>0</v>
      </c>
      <c r="M89" s="150">
        <f ca="1">'105 (5)'!M89+'105 (9)'!M89+'105 (10)'!M89+'105 (11)'!M89</f>
        <v>0</v>
      </c>
      <c r="N89" s="150">
        <f ca="1">'105 (5)'!N89+'105 (9)'!N89+'105 (10)'!N89+'105 (11)'!N89</f>
        <v>0</v>
      </c>
      <c r="O89" s="150">
        <f ca="1">'105 (5)'!O89+'105 (9)'!O89+'105 (10)'!O89+'105 (11)'!O89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150">
        <f ca="1">'105 (5)'!D91+'105 (9)'!D91+'105 (10)'!D91+'105 (11)'!D91</f>
        <v>3</v>
      </c>
      <c r="E91" s="150">
        <f ca="1">'105 (5)'!E91+'105 (9)'!E91+'105 (10)'!E91+'105 (11)'!E91</f>
        <v>0</v>
      </c>
      <c r="F91" s="150">
        <f ca="1">'105 (5)'!F91+'105 (9)'!F91+'105 (10)'!F91+'105 (11)'!F91</f>
        <v>0</v>
      </c>
      <c r="G91" s="150">
        <f ca="1">'105 (5)'!G91+'105 (9)'!G91+'105 (10)'!G91+'105 (11)'!G91</f>
        <v>0</v>
      </c>
      <c r="H91" s="150">
        <f ca="1">'105 (5)'!H91+'105 (9)'!H91+'105 (10)'!H91+'105 (11)'!H91</f>
        <v>0</v>
      </c>
      <c r="I91" s="150">
        <f ca="1">'105 (5)'!I91+'105 (9)'!I91+'105 (10)'!I91+'105 (11)'!I91</f>
        <v>0</v>
      </c>
      <c r="J91" s="150">
        <f ca="1">'105 (5)'!J91+'105 (9)'!J91+'105 (10)'!J91+'105 (11)'!J91</f>
        <v>0</v>
      </c>
      <c r="K91" s="150">
        <f ca="1">'105 (5)'!K91+'105 (9)'!K91+'105 (10)'!K91+'105 (11)'!K91</f>
        <v>0</v>
      </c>
      <c r="L91" s="150">
        <f ca="1">'105 (5)'!L91+'105 (9)'!L91+'105 (10)'!L91+'105 (11)'!L91</f>
        <v>0</v>
      </c>
      <c r="M91" s="150">
        <f ca="1">'105 (5)'!M91+'105 (9)'!M91+'105 (10)'!M91+'105 (11)'!M91</f>
        <v>0</v>
      </c>
      <c r="N91" s="150">
        <f ca="1">'105 (5)'!N91+'105 (9)'!N91+'105 (10)'!N91+'105 (11)'!N91</f>
        <v>0</v>
      </c>
      <c r="O91" s="150">
        <f ca="1">'105 (5)'!O91+'105 (9)'!O91+'105 (10)'!O91+'105 (11)'!O91</f>
        <v>0</v>
      </c>
    </row>
    <row r="92" spans="1:15">
      <c r="A92" s="91" t="s">
        <v>372</v>
      </c>
      <c r="B92" s="92"/>
      <c r="C92" s="92"/>
      <c r="D92" s="150">
        <f ca="1">'105 (5)'!D92+'105 (9)'!D92+'105 (10)'!D92+'105 (11)'!D92</f>
        <v>4</v>
      </c>
      <c r="E92" s="150">
        <f ca="1">'105 (5)'!E92+'105 (9)'!E92+'105 (10)'!E92+'105 (11)'!E92</f>
        <v>0</v>
      </c>
      <c r="F92" s="150">
        <f ca="1">'105 (5)'!F92+'105 (9)'!F92+'105 (10)'!F92+'105 (11)'!F92</f>
        <v>0</v>
      </c>
      <c r="G92" s="150">
        <f ca="1">'105 (5)'!G92+'105 (9)'!G92+'105 (10)'!G92+'105 (11)'!G92</f>
        <v>0</v>
      </c>
      <c r="H92" s="150">
        <f ca="1">'105 (5)'!H92+'105 (9)'!H92+'105 (10)'!H92+'105 (11)'!H92</f>
        <v>0</v>
      </c>
      <c r="I92" s="150">
        <f ca="1">'105 (5)'!I92+'105 (9)'!I92+'105 (10)'!I92+'105 (11)'!I92</f>
        <v>0</v>
      </c>
      <c r="J92" s="150">
        <f ca="1">'105 (5)'!J92+'105 (9)'!J92+'105 (10)'!J92+'105 (11)'!J92</f>
        <v>0</v>
      </c>
      <c r="K92" s="150">
        <f ca="1">'105 (5)'!K92+'105 (9)'!K92+'105 (10)'!K92+'105 (11)'!K92</f>
        <v>0</v>
      </c>
      <c r="L92" s="150">
        <f ca="1">'105 (5)'!L92+'105 (9)'!L92+'105 (10)'!L92+'105 (11)'!L92</f>
        <v>0</v>
      </c>
      <c r="M92" s="150">
        <f ca="1">'105 (5)'!M92+'105 (9)'!M92+'105 (10)'!M92+'105 (11)'!M92</f>
        <v>0</v>
      </c>
      <c r="N92" s="150">
        <f ca="1">'105 (5)'!N92+'105 (9)'!N92+'105 (10)'!N92+'105 (11)'!N92</f>
        <v>0</v>
      </c>
      <c r="O92" s="150">
        <f ca="1">'105 (5)'!O92+'105 (9)'!O92+'105 (10)'!O92+'105 (11)'!O92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0.42857142857142855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150">
        <f ca="1">'105 (5)'!D94+'105 (9)'!D94+'105 (10)'!D94+'105 (11)'!D94</f>
        <v>4</v>
      </c>
      <c r="E94" s="150">
        <f ca="1">'105 (5)'!E94+'105 (9)'!E94+'105 (10)'!E94+'105 (11)'!E94</f>
        <v>0</v>
      </c>
      <c r="F94" s="150">
        <f ca="1">'105 (5)'!F94+'105 (9)'!F94+'105 (10)'!F94+'105 (11)'!F94</f>
        <v>0</v>
      </c>
      <c r="G94" s="150">
        <f ca="1">'105 (5)'!G94+'105 (9)'!G94+'105 (10)'!G94+'105 (11)'!G94</f>
        <v>0</v>
      </c>
      <c r="H94" s="150">
        <f ca="1">'105 (5)'!H94+'105 (9)'!H94+'105 (10)'!H94+'105 (11)'!H94</f>
        <v>0</v>
      </c>
      <c r="I94" s="150">
        <f ca="1">'105 (5)'!I94+'105 (9)'!I94+'105 (10)'!I94+'105 (11)'!I94</f>
        <v>0</v>
      </c>
      <c r="J94" s="150">
        <f ca="1">'105 (5)'!J94+'105 (9)'!J94+'105 (10)'!J94+'105 (11)'!J94</f>
        <v>0</v>
      </c>
      <c r="K94" s="150">
        <f ca="1">'105 (5)'!K94+'105 (9)'!K94+'105 (10)'!K94+'105 (11)'!K94</f>
        <v>0</v>
      </c>
      <c r="L94" s="150">
        <f ca="1">'105 (5)'!L94+'105 (9)'!L94+'105 (10)'!L94+'105 (11)'!L94</f>
        <v>0</v>
      </c>
      <c r="M94" s="150">
        <f ca="1">'105 (5)'!M94+'105 (9)'!M94+'105 (10)'!M94+'105 (11)'!M94</f>
        <v>0</v>
      </c>
      <c r="N94" s="150">
        <f ca="1">'105 (5)'!N94+'105 (9)'!N94+'105 (10)'!N94+'105 (11)'!N94</f>
        <v>0</v>
      </c>
      <c r="O94" s="150">
        <f ca="1">'105 (5)'!O94+'105 (9)'!O94+'105 (10)'!O94+'105 (11)'!O94</f>
        <v>0</v>
      </c>
    </row>
    <row r="95" spans="1:15">
      <c r="A95" s="100" t="s">
        <v>372</v>
      </c>
      <c r="B95" s="97"/>
      <c r="C95" s="97"/>
      <c r="D95" s="150">
        <f ca="1">'105 (5)'!D95+'105 (9)'!D95+'105 (10)'!D95+'105 (11)'!D95</f>
        <v>5</v>
      </c>
      <c r="E95" s="150">
        <f ca="1">'105 (5)'!E95+'105 (9)'!E95+'105 (10)'!E95+'105 (11)'!E95</f>
        <v>0</v>
      </c>
      <c r="F95" s="150">
        <f ca="1">'105 (5)'!F95+'105 (9)'!F95+'105 (10)'!F95+'105 (11)'!F95</f>
        <v>0</v>
      </c>
      <c r="G95" s="150">
        <f ca="1">'105 (5)'!G95+'105 (9)'!G95+'105 (10)'!G95+'105 (11)'!G95</f>
        <v>0</v>
      </c>
      <c r="H95" s="150">
        <f ca="1">'105 (5)'!H95+'105 (9)'!H95+'105 (10)'!H95+'105 (11)'!H95</f>
        <v>0</v>
      </c>
      <c r="I95" s="150">
        <f ca="1">'105 (5)'!I95+'105 (9)'!I95+'105 (10)'!I95+'105 (11)'!I95</f>
        <v>0</v>
      </c>
      <c r="J95" s="150">
        <f ca="1">'105 (5)'!J95+'105 (9)'!J95+'105 (10)'!J95+'105 (11)'!J95</f>
        <v>0</v>
      </c>
      <c r="K95" s="150">
        <f ca="1">'105 (5)'!K95+'105 (9)'!K95+'105 (10)'!K95+'105 (11)'!K95</f>
        <v>0</v>
      </c>
      <c r="L95" s="150">
        <f ca="1">'105 (5)'!L95+'105 (9)'!L95+'105 (10)'!L95+'105 (11)'!L95</f>
        <v>0</v>
      </c>
      <c r="M95" s="150">
        <f ca="1">'105 (5)'!M95+'105 (9)'!M95+'105 (10)'!M95+'105 (11)'!M95</f>
        <v>0</v>
      </c>
      <c r="N95" s="150">
        <f ca="1">'105 (5)'!N95+'105 (9)'!N95+'105 (10)'!N95+'105 (11)'!N95</f>
        <v>0</v>
      </c>
      <c r="O95" s="150">
        <f ca="1">'105 (5)'!O95+'105 (9)'!O95+'105 (10)'!O95+'105 (11)'!O95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0.44444444444444442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150">
        <f ca="1">'105 (5)'!D97+'105 (9)'!D97+'105 (10)'!D97+'105 (11)'!D97</f>
        <v>23</v>
      </c>
      <c r="E97" s="150">
        <f ca="1">'105 (5)'!E97+'105 (9)'!E97+'105 (10)'!E97+'105 (11)'!E97</f>
        <v>0</v>
      </c>
      <c r="F97" s="150">
        <f ca="1">'105 (5)'!F97+'105 (9)'!F97+'105 (10)'!F97+'105 (11)'!F97</f>
        <v>0</v>
      </c>
      <c r="G97" s="150">
        <f ca="1">'105 (5)'!G97+'105 (9)'!G97+'105 (10)'!G97+'105 (11)'!G97</f>
        <v>0</v>
      </c>
      <c r="H97" s="150">
        <f ca="1">'105 (5)'!H97+'105 (9)'!H97+'105 (10)'!H97+'105 (11)'!H97</f>
        <v>0</v>
      </c>
      <c r="I97" s="150">
        <f ca="1">'105 (5)'!I97+'105 (9)'!I97+'105 (10)'!I97+'105 (11)'!I97</f>
        <v>0</v>
      </c>
      <c r="J97" s="150">
        <f ca="1">'105 (5)'!J97+'105 (9)'!J97+'105 (10)'!J97+'105 (11)'!J97</f>
        <v>0</v>
      </c>
      <c r="K97" s="150">
        <f ca="1">'105 (5)'!K97+'105 (9)'!K97+'105 (10)'!K97+'105 (11)'!K97</f>
        <v>0</v>
      </c>
      <c r="L97" s="150">
        <f ca="1">'105 (5)'!L97+'105 (9)'!L97+'105 (10)'!L97+'105 (11)'!L97</f>
        <v>0</v>
      </c>
      <c r="M97" s="150">
        <f ca="1">'105 (5)'!M97+'105 (9)'!M97+'105 (10)'!M97+'105 (11)'!M97</f>
        <v>0</v>
      </c>
      <c r="N97" s="150">
        <f ca="1">'105 (5)'!N97+'105 (9)'!N97+'105 (10)'!N97+'105 (11)'!N97</f>
        <v>0</v>
      </c>
      <c r="O97" s="150">
        <f ca="1">'105 (5)'!O97+'105 (9)'!O97+'105 (10)'!O97+'105 (11)'!O97</f>
        <v>0</v>
      </c>
    </row>
    <row r="98" spans="1:15">
      <c r="A98" s="91" t="s">
        <v>372</v>
      </c>
      <c r="B98" s="92"/>
      <c r="C98" s="92"/>
      <c r="D98" s="150">
        <f ca="1">'105 (5)'!D98+'105 (9)'!D98+'105 (10)'!D98+'105 (11)'!D98</f>
        <v>166</v>
      </c>
      <c r="E98" s="150">
        <f ca="1">'105 (5)'!E98+'105 (9)'!E98+'105 (10)'!E98+'105 (11)'!E98</f>
        <v>0</v>
      </c>
      <c r="F98" s="150">
        <f ca="1">'105 (5)'!F98+'105 (9)'!F98+'105 (10)'!F98+'105 (11)'!F98</f>
        <v>0</v>
      </c>
      <c r="G98" s="150">
        <f ca="1">'105 (5)'!G98+'105 (9)'!G98+'105 (10)'!G98+'105 (11)'!G98</f>
        <v>0</v>
      </c>
      <c r="H98" s="150">
        <f ca="1">'105 (5)'!H98+'105 (9)'!H98+'105 (10)'!H98+'105 (11)'!H98</f>
        <v>0</v>
      </c>
      <c r="I98" s="150">
        <f ca="1">'105 (5)'!I98+'105 (9)'!I98+'105 (10)'!I98+'105 (11)'!I98</f>
        <v>0</v>
      </c>
      <c r="J98" s="150">
        <f ca="1">'105 (5)'!J98+'105 (9)'!J98+'105 (10)'!J98+'105 (11)'!J98</f>
        <v>0</v>
      </c>
      <c r="K98" s="150">
        <f ca="1">'105 (5)'!K98+'105 (9)'!K98+'105 (10)'!K98+'105 (11)'!K98</f>
        <v>0</v>
      </c>
      <c r="L98" s="150">
        <f ca="1">'105 (5)'!L98+'105 (9)'!L98+'105 (10)'!L98+'105 (11)'!L98</f>
        <v>0</v>
      </c>
      <c r="M98" s="150">
        <f ca="1">'105 (5)'!M98+'105 (9)'!M98+'105 (10)'!M98+'105 (11)'!M98</f>
        <v>0</v>
      </c>
      <c r="N98" s="150">
        <f ca="1">'105 (5)'!N98+'105 (9)'!N98+'105 (10)'!N98+'105 (11)'!N98</f>
        <v>0</v>
      </c>
      <c r="O98" s="150">
        <f ca="1">'105 (5)'!O98+'105 (9)'!O98+'105 (10)'!O98+'105 (11)'!O98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0.12169312169312169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150">
        <f ca="1">'105 (5)'!D100+'105 (9)'!D100+'105 (10)'!D100+'105 (11)'!D100</f>
        <v>65</v>
      </c>
      <c r="E100" s="150">
        <f ca="1">'105 (5)'!E100+'105 (9)'!E100+'105 (10)'!E100+'105 (11)'!E100</f>
        <v>0</v>
      </c>
      <c r="F100" s="150">
        <f ca="1">'105 (5)'!F100+'105 (9)'!F100+'105 (10)'!F100+'105 (11)'!F100</f>
        <v>0</v>
      </c>
      <c r="G100" s="150">
        <f ca="1">'105 (5)'!G100+'105 (9)'!G100+'105 (10)'!G100+'105 (11)'!G100</f>
        <v>0</v>
      </c>
      <c r="H100" s="150">
        <f ca="1">'105 (5)'!H100+'105 (9)'!H100+'105 (10)'!H100+'105 (11)'!H100</f>
        <v>0</v>
      </c>
      <c r="I100" s="150">
        <f ca="1">'105 (5)'!I100+'105 (9)'!I100+'105 (10)'!I100+'105 (11)'!I100</f>
        <v>0</v>
      </c>
      <c r="J100" s="150">
        <f ca="1">'105 (5)'!J100+'105 (9)'!J100+'105 (10)'!J100+'105 (11)'!J100</f>
        <v>0</v>
      </c>
      <c r="K100" s="150">
        <f ca="1">'105 (5)'!K100+'105 (9)'!K100+'105 (10)'!K100+'105 (11)'!K100</f>
        <v>0</v>
      </c>
      <c r="L100" s="150">
        <f ca="1">'105 (5)'!L100+'105 (9)'!L100+'105 (10)'!L100+'105 (11)'!L100</f>
        <v>0</v>
      </c>
      <c r="M100" s="150">
        <f ca="1">'105 (5)'!M100+'105 (9)'!M100+'105 (10)'!M100+'105 (11)'!M100</f>
        <v>0</v>
      </c>
      <c r="N100" s="150">
        <f ca="1">'105 (5)'!N100+'105 (9)'!N100+'105 (10)'!N100+'105 (11)'!N100</f>
        <v>0</v>
      </c>
      <c r="O100" s="150">
        <f ca="1">'105 (5)'!O100+'105 (9)'!O100+'105 (10)'!O100+'105 (11)'!O100</f>
        <v>0</v>
      </c>
    </row>
    <row r="101" spans="1:15">
      <c r="A101" s="100" t="s">
        <v>372</v>
      </c>
      <c r="B101" s="97"/>
      <c r="C101" s="97"/>
      <c r="D101" s="150">
        <f ca="1">'105 (5)'!D101+'105 (9)'!D101+'105 (10)'!D101+'105 (11)'!D101</f>
        <v>173</v>
      </c>
      <c r="E101" s="150">
        <f ca="1">'105 (5)'!E101+'105 (9)'!E101+'105 (10)'!E101+'105 (11)'!E101</f>
        <v>0</v>
      </c>
      <c r="F101" s="150">
        <f ca="1">'105 (5)'!F101+'105 (9)'!F101+'105 (10)'!F101+'105 (11)'!F101</f>
        <v>0</v>
      </c>
      <c r="G101" s="150">
        <f ca="1">'105 (5)'!G101+'105 (9)'!G101+'105 (10)'!G101+'105 (11)'!G101</f>
        <v>0</v>
      </c>
      <c r="H101" s="150">
        <f ca="1">'105 (5)'!H101+'105 (9)'!H101+'105 (10)'!H101+'105 (11)'!H101</f>
        <v>0</v>
      </c>
      <c r="I101" s="150">
        <f ca="1">'105 (5)'!I101+'105 (9)'!I101+'105 (10)'!I101+'105 (11)'!I101</f>
        <v>0</v>
      </c>
      <c r="J101" s="150">
        <f ca="1">'105 (5)'!J101+'105 (9)'!J101+'105 (10)'!J101+'105 (11)'!J101</f>
        <v>0</v>
      </c>
      <c r="K101" s="150">
        <f ca="1">'105 (5)'!K101+'105 (9)'!K101+'105 (10)'!K101+'105 (11)'!K101</f>
        <v>0</v>
      </c>
      <c r="L101" s="150">
        <f ca="1">'105 (5)'!L101+'105 (9)'!L101+'105 (10)'!L101+'105 (11)'!L101</f>
        <v>0</v>
      </c>
      <c r="M101" s="150">
        <f ca="1">'105 (5)'!M101+'105 (9)'!M101+'105 (10)'!M101+'105 (11)'!M101</f>
        <v>0</v>
      </c>
      <c r="N101" s="150">
        <f ca="1">'105 (5)'!N101+'105 (9)'!N101+'105 (10)'!N101+'105 (11)'!N101</f>
        <v>0</v>
      </c>
      <c r="O101" s="150">
        <f ca="1">'105 (5)'!O101+'105 (9)'!O101+'105 (10)'!O101+'105 (11)'!O101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0.27310924369747897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150">
        <f ca="1">'105 (5)'!D103+'105 (9)'!D103+'105 (10)'!D103+'105 (11)'!D103</f>
        <v>4</v>
      </c>
      <c r="E103" s="150">
        <f ca="1">'105 (5)'!E103+'105 (9)'!E103+'105 (10)'!E103+'105 (11)'!E103</f>
        <v>0</v>
      </c>
      <c r="F103" s="150">
        <f ca="1">'105 (5)'!F103+'105 (9)'!F103+'105 (10)'!F103+'105 (11)'!F103</f>
        <v>0</v>
      </c>
      <c r="G103" s="150">
        <f ca="1">'105 (5)'!G103+'105 (9)'!G103+'105 (10)'!G103+'105 (11)'!G103</f>
        <v>0</v>
      </c>
      <c r="H103" s="150">
        <f ca="1">'105 (5)'!H103+'105 (9)'!H103+'105 (10)'!H103+'105 (11)'!H103</f>
        <v>0</v>
      </c>
      <c r="I103" s="150">
        <f ca="1">'105 (5)'!I103+'105 (9)'!I103+'105 (10)'!I103+'105 (11)'!I103</f>
        <v>0</v>
      </c>
      <c r="J103" s="150">
        <f ca="1">'105 (5)'!J103+'105 (9)'!J103+'105 (10)'!J103+'105 (11)'!J103</f>
        <v>0</v>
      </c>
      <c r="K103" s="150">
        <f ca="1">'105 (5)'!K103+'105 (9)'!K103+'105 (10)'!K103+'105 (11)'!K103</f>
        <v>0</v>
      </c>
      <c r="L103" s="150">
        <f ca="1">'105 (5)'!L103+'105 (9)'!L103+'105 (10)'!L103+'105 (11)'!L103</f>
        <v>0</v>
      </c>
      <c r="M103" s="150">
        <f ca="1">'105 (5)'!M103+'105 (9)'!M103+'105 (10)'!M103+'105 (11)'!M103</f>
        <v>0</v>
      </c>
      <c r="N103" s="150">
        <f ca="1">'105 (5)'!N103+'105 (9)'!N103+'105 (10)'!N103+'105 (11)'!N103</f>
        <v>0</v>
      </c>
      <c r="O103" s="150">
        <f ca="1">'105 (5)'!O103+'105 (9)'!O103+'105 (10)'!O103+'105 (11)'!O103</f>
        <v>0</v>
      </c>
    </row>
    <row r="104" spans="1:15">
      <c r="A104" s="91" t="s">
        <v>372</v>
      </c>
      <c r="B104" s="92"/>
      <c r="C104" s="92"/>
      <c r="D104" s="150">
        <f ca="1">'105 (5)'!D104+'105 (9)'!D104+'105 (10)'!D104+'105 (11)'!D104</f>
        <v>47</v>
      </c>
      <c r="E104" s="150">
        <f ca="1">'105 (5)'!E104+'105 (9)'!E104+'105 (10)'!E104+'105 (11)'!E104</f>
        <v>0</v>
      </c>
      <c r="F104" s="150">
        <f ca="1">'105 (5)'!F104+'105 (9)'!F104+'105 (10)'!F104+'105 (11)'!F104</f>
        <v>0</v>
      </c>
      <c r="G104" s="150">
        <f ca="1">'105 (5)'!G104+'105 (9)'!G104+'105 (10)'!G104+'105 (11)'!G104</f>
        <v>0</v>
      </c>
      <c r="H104" s="150">
        <f ca="1">'105 (5)'!H104+'105 (9)'!H104+'105 (10)'!H104+'105 (11)'!H104</f>
        <v>0</v>
      </c>
      <c r="I104" s="150">
        <f ca="1">'105 (5)'!I104+'105 (9)'!I104+'105 (10)'!I104+'105 (11)'!I104</f>
        <v>0</v>
      </c>
      <c r="J104" s="150">
        <f ca="1">'105 (5)'!J104+'105 (9)'!J104+'105 (10)'!J104+'105 (11)'!J104</f>
        <v>0</v>
      </c>
      <c r="K104" s="150">
        <f ca="1">'105 (5)'!K104+'105 (9)'!K104+'105 (10)'!K104+'105 (11)'!K104</f>
        <v>0</v>
      </c>
      <c r="L104" s="150">
        <f ca="1">'105 (5)'!L104+'105 (9)'!L104+'105 (10)'!L104+'105 (11)'!L104</f>
        <v>0</v>
      </c>
      <c r="M104" s="150">
        <f ca="1">'105 (5)'!M104+'105 (9)'!M104+'105 (10)'!M104+'105 (11)'!M104</f>
        <v>0</v>
      </c>
      <c r="N104" s="150">
        <f ca="1">'105 (5)'!N104+'105 (9)'!N104+'105 (10)'!N104+'105 (11)'!N104</f>
        <v>0</v>
      </c>
      <c r="O104" s="150">
        <f ca="1">'105 (5)'!O104+'105 (9)'!O104+'105 (10)'!O104+'105 (11)'!O104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7.8431372549019607E-2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150">
        <f ca="1">'105 (5)'!D106+'105 (9)'!D106+'105 (10)'!D106+'105 (11)'!D106</f>
        <v>8</v>
      </c>
      <c r="E106" s="150">
        <f ca="1">'105 (5)'!E106+'105 (9)'!E106+'105 (10)'!E106+'105 (11)'!E106</f>
        <v>0</v>
      </c>
      <c r="F106" s="150">
        <f ca="1">'105 (5)'!F106+'105 (9)'!F106+'105 (10)'!F106+'105 (11)'!F106</f>
        <v>0</v>
      </c>
      <c r="G106" s="150">
        <f ca="1">'105 (5)'!G106+'105 (9)'!G106+'105 (10)'!G106+'105 (11)'!G106</f>
        <v>0</v>
      </c>
      <c r="H106" s="150">
        <f ca="1">'105 (5)'!H106+'105 (9)'!H106+'105 (10)'!H106+'105 (11)'!H106</f>
        <v>0</v>
      </c>
      <c r="I106" s="150">
        <f ca="1">'105 (5)'!I106+'105 (9)'!I106+'105 (10)'!I106+'105 (11)'!I106</f>
        <v>0</v>
      </c>
      <c r="J106" s="150">
        <f ca="1">'105 (5)'!J106+'105 (9)'!J106+'105 (10)'!J106+'105 (11)'!J106</f>
        <v>0</v>
      </c>
      <c r="K106" s="150">
        <f ca="1">'105 (5)'!K106+'105 (9)'!K106+'105 (10)'!K106+'105 (11)'!K106</f>
        <v>0</v>
      </c>
      <c r="L106" s="150">
        <f ca="1">'105 (5)'!L106+'105 (9)'!L106+'105 (10)'!L106+'105 (11)'!L106</f>
        <v>0</v>
      </c>
      <c r="M106" s="150">
        <f ca="1">'105 (5)'!M106+'105 (9)'!M106+'105 (10)'!M106+'105 (11)'!M106</f>
        <v>0</v>
      </c>
      <c r="N106" s="150">
        <f ca="1">'105 (5)'!N106+'105 (9)'!N106+'105 (10)'!N106+'105 (11)'!N106</f>
        <v>0</v>
      </c>
      <c r="O106" s="150">
        <f ca="1">'105 (5)'!O106+'105 (9)'!O106+'105 (10)'!O106+'105 (11)'!O106</f>
        <v>0</v>
      </c>
    </row>
    <row r="107" spans="1:15">
      <c r="A107" s="100" t="s">
        <v>372</v>
      </c>
      <c r="B107" s="97"/>
      <c r="C107" s="97"/>
      <c r="D107" s="150">
        <f ca="1">'105 (5)'!D107+'105 (9)'!D107+'105 (10)'!D107+'105 (11)'!D107</f>
        <v>41</v>
      </c>
      <c r="E107" s="150">
        <f ca="1">'105 (5)'!E107+'105 (9)'!E107+'105 (10)'!E107+'105 (11)'!E107</f>
        <v>0</v>
      </c>
      <c r="F107" s="150">
        <f ca="1">'105 (5)'!F107+'105 (9)'!F107+'105 (10)'!F107+'105 (11)'!F107</f>
        <v>0</v>
      </c>
      <c r="G107" s="150">
        <f ca="1">'105 (5)'!G107+'105 (9)'!G107+'105 (10)'!G107+'105 (11)'!G107</f>
        <v>0</v>
      </c>
      <c r="H107" s="150">
        <f ca="1">'105 (5)'!H107+'105 (9)'!H107+'105 (10)'!H107+'105 (11)'!H107</f>
        <v>0</v>
      </c>
      <c r="I107" s="150">
        <f ca="1">'105 (5)'!I107+'105 (9)'!I107+'105 (10)'!I107+'105 (11)'!I107</f>
        <v>0</v>
      </c>
      <c r="J107" s="150">
        <f ca="1">'105 (5)'!J107+'105 (9)'!J107+'105 (10)'!J107+'105 (11)'!J107</f>
        <v>0</v>
      </c>
      <c r="K107" s="150">
        <f ca="1">'105 (5)'!K107+'105 (9)'!K107+'105 (10)'!K107+'105 (11)'!K107</f>
        <v>0</v>
      </c>
      <c r="L107" s="150">
        <f ca="1">'105 (5)'!L107+'105 (9)'!L107+'105 (10)'!L107+'105 (11)'!L107</f>
        <v>0</v>
      </c>
      <c r="M107" s="150">
        <f ca="1">'105 (5)'!M107+'105 (9)'!M107+'105 (10)'!M107+'105 (11)'!M107</f>
        <v>0</v>
      </c>
      <c r="N107" s="150">
        <f ca="1">'105 (5)'!N107+'105 (9)'!N107+'105 (10)'!N107+'105 (11)'!N107</f>
        <v>0</v>
      </c>
      <c r="O107" s="150">
        <f ca="1">'105 (5)'!O107+'105 (9)'!O107+'105 (10)'!O107+'105 (11)'!O107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0.16326530612244897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394</v>
      </c>
      <c r="D1" s="2">
        <v>69</v>
      </c>
    </row>
    <row r="2" spans="1:15">
      <c r="D2" s="2">
        <v>70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203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206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47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45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2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4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99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106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2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18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28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2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2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1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12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15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80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10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15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42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41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6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41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3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53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36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104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96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58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47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45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6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80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149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0.34934497816593885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120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0.32203389830508472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45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22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0.67164179104477617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6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36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0.14285714285714285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3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0.25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1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0.66666666666666663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0.33333333333333331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5.2631578947368418E-2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26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63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0.29213483146067415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39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4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O108"/>
  <sheetViews>
    <sheetView topLeftCell="A13" workbookViewId="0">
      <selection activeCell="A99" sqref="A99:B100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393</v>
      </c>
      <c r="D1" s="2">
        <v>81</v>
      </c>
    </row>
    <row r="2" spans="1:15">
      <c r="D2" s="2">
        <v>82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45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15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8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28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4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6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11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30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20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18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19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25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16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19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5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11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13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0.45833333333333331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30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26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0.5357142857142857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5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5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7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0.41666666666666669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0.45454545454545453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23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0.34285714285714286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4"/>
  <sheetViews>
    <sheetView view="pageBreakPreview" zoomScaleSheetLayoutView="100" workbookViewId="0">
      <selection activeCell="R2" sqref="R2"/>
    </sheetView>
  </sheetViews>
  <sheetFormatPr defaultRowHeight="12.75"/>
  <cols>
    <col min="1" max="1" width="42.5703125" style="60" customWidth="1"/>
    <col min="2" max="2" width="11.140625" style="58" customWidth="1"/>
    <col min="3" max="3" width="9.5703125" style="58" customWidth="1"/>
    <col min="4" max="4" width="8.7109375" style="58" customWidth="1"/>
    <col min="5" max="5" width="8.5703125" style="58" customWidth="1"/>
    <col min="6" max="6" width="9.7109375" style="58" customWidth="1"/>
    <col min="7" max="7" width="10.140625" style="58" customWidth="1"/>
    <col min="8" max="8" width="8.5703125" style="58" customWidth="1"/>
    <col min="9" max="9" width="8.85546875" style="58" customWidth="1"/>
    <col min="10" max="10" width="9.42578125" style="58" customWidth="1"/>
    <col min="11" max="11" width="8.7109375" style="58" customWidth="1"/>
    <col min="12" max="12" width="8" style="58" customWidth="1"/>
    <col min="13" max="15" width="2.5703125" style="38" customWidth="1"/>
    <col min="16" max="16" width="34.140625" style="38" customWidth="1"/>
    <col min="17" max="18" width="10.7109375" style="38" customWidth="1"/>
    <col min="19" max="16384" width="9.140625" style="38"/>
  </cols>
  <sheetData>
    <row r="1" spans="1:20" ht="18">
      <c r="A1" s="351" t="s">
        <v>172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P1" s="68" t="s">
        <v>264</v>
      </c>
    </row>
    <row r="2" spans="1:20" ht="18">
      <c r="A2" s="352" t="s">
        <v>607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P2" s="14" t="s">
        <v>116</v>
      </c>
      <c r="Q2" s="14">
        <f>VLOOKUP(P2,Справочник!B1:C63,2,FALSE)</f>
        <v>400</v>
      </c>
      <c r="R2" s="67" t="s">
        <v>18</v>
      </c>
      <c r="S2" s="21" t="str">
        <f>VLOOKUP(R2,Справочник!E1:F12,2,FALSE)</f>
        <v>01</v>
      </c>
      <c r="T2" s="38" t="str">
        <f>VLOOKUP(R2,Справочник!E1:G12,3,FALSE)</f>
        <v>d</v>
      </c>
    </row>
    <row r="3" spans="1:20" ht="18">
      <c r="A3" s="352" t="str">
        <f>P2</f>
        <v>Красноярский край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</row>
    <row r="4" spans="1:20" ht="18">
      <c r="A4" s="352" t="str">
        <f>CONCATENATE("за январь-",R2," ",B6,"/",C6," г.")</f>
        <v>за январь-январь 2018/2019 г.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</row>
    <row r="5" spans="1:20" ht="48" customHeight="1">
      <c r="A5" s="237"/>
      <c r="B5" s="353" t="s">
        <v>606</v>
      </c>
      <c r="C5" s="354"/>
      <c r="D5" s="354"/>
      <c r="E5" s="355"/>
      <c r="F5" s="356" t="s">
        <v>605</v>
      </c>
      <c r="G5" s="357"/>
      <c r="H5" s="357"/>
      <c r="I5" s="358"/>
      <c r="J5" s="359" t="s">
        <v>604</v>
      </c>
      <c r="K5" s="359"/>
      <c r="L5" s="359"/>
    </row>
    <row r="6" spans="1:20" ht="18">
      <c r="A6" s="236"/>
      <c r="B6" s="234">
        <f>Справочник!J2</f>
        <v>2018</v>
      </c>
      <c r="C6" s="233">
        <f>Справочник!J1</f>
        <v>2019</v>
      </c>
      <c r="D6" s="232" t="s">
        <v>175</v>
      </c>
      <c r="E6" s="235" t="s">
        <v>176</v>
      </c>
      <c r="F6" s="234">
        <f>Справочник!J2</f>
        <v>2018</v>
      </c>
      <c r="G6" s="233">
        <f>Справочник!J1</f>
        <v>2019</v>
      </c>
      <c r="H6" s="232" t="s">
        <v>175</v>
      </c>
      <c r="I6" s="235" t="s">
        <v>176</v>
      </c>
      <c r="J6" s="234">
        <f>Справочник!J2</f>
        <v>2018</v>
      </c>
      <c r="K6" s="233">
        <f>Справочник!J1</f>
        <v>2019</v>
      </c>
      <c r="L6" s="232" t="s">
        <v>175</v>
      </c>
    </row>
    <row r="7" spans="1:20" s="59" customFormat="1" ht="25.5" customHeight="1">
      <c r="A7" s="231" t="s">
        <v>35</v>
      </c>
      <c r="B7" s="230">
        <f ca="1">INDIRECT("'"&amp;Q2&amp;"'!"&amp;T2&amp;"61")</f>
        <v>1886</v>
      </c>
      <c r="C7" s="229">
        <f ca="1">INDIRECT(("'"&amp;Q2&amp;"'!"&amp;T2&amp;"64"))</f>
        <v>1790</v>
      </c>
      <c r="D7" s="228">
        <f t="shared" ref="D7:D13" ca="1" si="0">C7-B7</f>
        <v>-96</v>
      </c>
      <c r="E7" s="227">
        <f t="shared" ref="E7:E13" ca="1" si="1">(D7/B7*100)</f>
        <v>-5.0901378579003183</v>
      </c>
      <c r="F7" s="230">
        <f ca="1">INDIRECT("'"&amp;Q2&amp;"'!"&amp;T2&amp;"62")</f>
        <v>1608</v>
      </c>
      <c r="G7" s="229">
        <f ca="1">INDIRECT("'"&amp;Q2&amp;"'!"&amp;T2&amp;"65")</f>
        <v>1454</v>
      </c>
      <c r="H7" s="228">
        <f t="shared" ref="H7:H13" ca="1" si="2">G7-F7</f>
        <v>-154</v>
      </c>
      <c r="I7" s="227">
        <f t="shared" ref="I7:I13" ca="1" si="3">(H7/F7*100)</f>
        <v>-9.5771144278606961</v>
      </c>
      <c r="J7" s="220">
        <f t="shared" ref="J7:J13" ca="1" si="4">B7/(B7+F7)*100</f>
        <v>53.97824842587292</v>
      </c>
      <c r="K7" s="212">
        <f t="shared" ref="K7:K13" ca="1" si="5">C7/(C7+G7)*100</f>
        <v>55.178791615289768</v>
      </c>
      <c r="L7" s="226">
        <f t="shared" ref="L7:L13" ca="1" si="6">K7-J7</f>
        <v>1.2005431894168481</v>
      </c>
    </row>
    <row r="8" spans="1:20" s="59" customFormat="1" ht="25.5" customHeight="1">
      <c r="A8" s="224" t="s">
        <v>603</v>
      </c>
      <c r="B8" s="217">
        <f ca="1">INDIRECT("'"&amp;Q2&amp;"'!"&amp;T2&amp;"67")</f>
        <v>432</v>
      </c>
      <c r="C8" s="216">
        <f ca="1">INDIRECT("'"&amp;Q2&amp;"'!"&amp;T2&amp;"70")</f>
        <v>309</v>
      </c>
      <c r="D8" s="215">
        <f t="shared" ca="1" si="0"/>
        <v>-123</v>
      </c>
      <c r="E8" s="214">
        <f t="shared" ca="1" si="1"/>
        <v>-28.472222222222221</v>
      </c>
      <c r="F8" s="217">
        <f ca="1">INDIRECT("'"&amp;Q2&amp;"'!"&amp;T2&amp;"68")</f>
        <v>270</v>
      </c>
      <c r="G8" s="217">
        <f ca="1">INDIRECT("'"&amp;Q2&amp;"'!"&amp;T2&amp;"71")</f>
        <v>304</v>
      </c>
      <c r="H8" s="215">
        <f t="shared" ca="1" si="2"/>
        <v>34</v>
      </c>
      <c r="I8" s="214">
        <f t="shared" ca="1" si="3"/>
        <v>12.592592592592592</v>
      </c>
      <c r="J8" s="213">
        <f ca="1">ROUND(B8/(B8+F8)*100,1)</f>
        <v>61.5</v>
      </c>
      <c r="K8" s="212">
        <f ca="1">ROUND(C8/(C8+G8)*100,1)</f>
        <v>50.4</v>
      </c>
      <c r="L8" s="211">
        <f t="shared" ca="1" si="6"/>
        <v>-11.100000000000001</v>
      </c>
    </row>
    <row r="9" spans="1:20" s="59" customFormat="1" ht="35.25" customHeight="1">
      <c r="A9" s="225" t="s">
        <v>602</v>
      </c>
      <c r="B9" s="217">
        <f ca="1">INDIRECT("'"&amp;Q2&amp;"'!"&amp;T2&amp;"73")</f>
        <v>18</v>
      </c>
      <c r="C9" s="216">
        <f ca="1">INDIRECT("'"&amp;Q2&amp;"'!"&amp;T2&amp;"76")</f>
        <v>19</v>
      </c>
      <c r="D9" s="222">
        <f t="shared" ca="1" si="0"/>
        <v>1</v>
      </c>
      <c r="E9" s="221">
        <f t="shared" ca="1" si="1"/>
        <v>5.5555555555555554</v>
      </c>
      <c r="F9" s="217">
        <f ca="1">INDIRECT("'"&amp;Q2&amp;"'!"&amp;T2&amp;"74")</f>
        <v>0</v>
      </c>
      <c r="G9" s="217">
        <f ca="1">INDIRECT("'"&amp;Q2&amp;"'!"&amp;T2&amp;"77")</f>
        <v>1</v>
      </c>
      <c r="H9" s="222">
        <f t="shared" ca="1" si="2"/>
        <v>1</v>
      </c>
      <c r="I9" s="221">
        <v>0</v>
      </c>
      <c r="J9" s="220">
        <f t="shared" ca="1" si="4"/>
        <v>100</v>
      </c>
      <c r="K9" s="212">
        <f t="shared" ca="1" si="5"/>
        <v>95</v>
      </c>
      <c r="L9" s="221">
        <f t="shared" ca="1" si="6"/>
        <v>-5</v>
      </c>
    </row>
    <row r="10" spans="1:20" s="59" customFormat="1" ht="34.5" customHeight="1">
      <c r="A10" s="218" t="s">
        <v>601</v>
      </c>
      <c r="B10" s="217">
        <f ca="1">INDIRECT("'"&amp;Q2&amp;"'!"&amp;T2&amp;"79")</f>
        <v>62</v>
      </c>
      <c r="C10" s="216">
        <f ca="1">INDIRECT("'"&amp;Q2&amp;"'!"&amp;T2&amp;"82")</f>
        <v>45</v>
      </c>
      <c r="D10" s="215">
        <f t="shared" ca="1" si="0"/>
        <v>-17</v>
      </c>
      <c r="E10" s="214">
        <f t="shared" ca="1" si="1"/>
        <v>-27.419354838709676</v>
      </c>
      <c r="F10" s="217">
        <f ca="1">INDIRECT("'"&amp;Q2&amp;"'!"&amp;T2&amp;"80")</f>
        <v>3</v>
      </c>
      <c r="G10" s="217">
        <f ca="1">INDIRECT("'"&amp;Q2&amp;"'!"&amp;T2&amp;"83")</f>
        <v>9</v>
      </c>
      <c r="H10" s="215">
        <f t="shared" ca="1" si="2"/>
        <v>6</v>
      </c>
      <c r="I10" s="214">
        <f t="shared" ca="1" si="3"/>
        <v>200</v>
      </c>
      <c r="J10" s="213">
        <f t="shared" ca="1" si="4"/>
        <v>95.384615384615387</v>
      </c>
      <c r="K10" s="212">
        <f t="shared" ca="1" si="5"/>
        <v>83.333333333333343</v>
      </c>
      <c r="L10" s="214">
        <f t="shared" ca="1" si="6"/>
        <v>-12.051282051282044</v>
      </c>
    </row>
    <row r="11" spans="1:20" s="59" customFormat="1" ht="25.5" customHeight="1">
      <c r="A11" s="223" t="s">
        <v>600</v>
      </c>
      <c r="B11" s="217">
        <f ca="1">INDIRECT("'"&amp;Q2&amp;"'!"&amp;T2&amp;"97")</f>
        <v>521</v>
      </c>
      <c r="C11" s="216">
        <f ca="1">INDIRECT("'"&amp;Q2&amp;"'!"&amp;T2&amp;"100")</f>
        <v>570</v>
      </c>
      <c r="D11" s="222">
        <f t="shared" ca="1" si="0"/>
        <v>49</v>
      </c>
      <c r="E11" s="221">
        <f t="shared" ca="1" si="1"/>
        <v>9.4049904030710181</v>
      </c>
      <c r="F11" s="217">
        <f ca="1">INDIRECT("'"&amp;Q2&amp;"'!"&amp;T2&amp;"98")</f>
        <v>988</v>
      </c>
      <c r="G11" s="217">
        <f ca="1">INDIRECT("'"&amp;Q2&amp;"'!"&amp;T2&amp;"101")</f>
        <v>887</v>
      </c>
      <c r="H11" s="222">
        <f t="shared" ca="1" si="2"/>
        <v>-101</v>
      </c>
      <c r="I11" s="221">
        <f t="shared" ca="1" si="3"/>
        <v>-10.222672064777328</v>
      </c>
      <c r="J11" s="220">
        <f t="shared" ca="1" si="4"/>
        <v>34.526176275679262</v>
      </c>
      <c r="K11" s="212">
        <f t="shared" ca="1" si="5"/>
        <v>39.121482498284145</v>
      </c>
      <c r="L11" s="219">
        <f t="shared" ca="1" si="6"/>
        <v>4.5953062226048829</v>
      </c>
    </row>
    <row r="12" spans="1:20" s="59" customFormat="1" ht="26.25" customHeight="1">
      <c r="A12" s="224" t="s">
        <v>599</v>
      </c>
      <c r="B12" s="217">
        <f ca="1">INDIRECT("'"&amp;Q2&amp;"'!"&amp;T2&amp;"91")</f>
        <v>52</v>
      </c>
      <c r="C12" s="216">
        <f ca="1">INDIRECT("'"&amp;Q2&amp;"'!"&amp;T2&amp;"94")</f>
        <v>47</v>
      </c>
      <c r="D12" s="215">
        <f t="shared" ca="1" si="0"/>
        <v>-5</v>
      </c>
      <c r="E12" s="214">
        <f t="shared" ca="1" si="1"/>
        <v>-9.6153846153846168</v>
      </c>
      <c r="F12" s="217">
        <f ca="1">INDIRECT("'"&amp;Q2&amp;"'!"&amp;T2&amp;"92")</f>
        <v>33</v>
      </c>
      <c r="G12" s="217">
        <f ca="1">INDIRECT("'"&amp;Q2&amp;"'!"&amp;T2&amp;"95")</f>
        <v>23</v>
      </c>
      <c r="H12" s="215">
        <f t="shared" ca="1" si="2"/>
        <v>-10</v>
      </c>
      <c r="I12" s="214">
        <f t="shared" ca="1" si="3"/>
        <v>-30.303030303030305</v>
      </c>
      <c r="J12" s="213">
        <f t="shared" ca="1" si="4"/>
        <v>61.176470588235297</v>
      </c>
      <c r="K12" s="212">
        <f t="shared" ca="1" si="5"/>
        <v>67.142857142857139</v>
      </c>
      <c r="L12" s="214">
        <f t="shared" ca="1" si="6"/>
        <v>5.9663865546218418</v>
      </c>
    </row>
    <row r="13" spans="1:20" s="59" customFormat="1" ht="27" customHeight="1">
      <c r="A13" s="223" t="s">
        <v>598</v>
      </c>
      <c r="B13" s="217">
        <f ca="1">INDIRECT("'"&amp;Q2&amp;"'!"&amp;T2&amp;"85")</f>
        <v>13</v>
      </c>
      <c r="C13" s="216">
        <f ca="1">INDIRECT("'"&amp;Q2&amp;"'!"&amp;T2&amp;"88")</f>
        <v>13</v>
      </c>
      <c r="D13" s="222">
        <f t="shared" ca="1" si="0"/>
        <v>0</v>
      </c>
      <c r="E13" s="221">
        <f t="shared" ca="1" si="1"/>
        <v>0</v>
      </c>
      <c r="F13" s="217">
        <f ca="1">INDIRECT("'"&amp;Q2&amp;"'!"&amp;T2&amp;"86")</f>
        <v>6</v>
      </c>
      <c r="G13" s="217">
        <f ca="1">INDIRECT("'"&amp;Q2&amp;"'!"&amp;T2&amp;"89")</f>
        <v>0</v>
      </c>
      <c r="H13" s="222">
        <f t="shared" ca="1" si="2"/>
        <v>-6</v>
      </c>
      <c r="I13" s="221">
        <f t="shared" ca="1" si="3"/>
        <v>-100</v>
      </c>
      <c r="J13" s="220">
        <f t="shared" ca="1" si="4"/>
        <v>68.421052631578945</v>
      </c>
      <c r="K13" s="212">
        <f t="shared" ca="1" si="5"/>
        <v>100</v>
      </c>
      <c r="L13" s="221">
        <f t="shared" ca="1" si="6"/>
        <v>31.578947368421055</v>
      </c>
    </row>
    <row r="14" spans="1:20" s="59" customFormat="1">
      <c r="A14" s="210"/>
      <c r="B14" s="209"/>
      <c r="C14" s="209"/>
      <c r="D14" s="209"/>
      <c r="E14" s="209"/>
      <c r="F14" s="209"/>
      <c r="G14" s="209"/>
      <c r="H14" s="209"/>
      <c r="I14" s="209"/>
      <c r="J14" s="209"/>
      <c r="K14" s="209"/>
    </row>
  </sheetData>
  <mergeCells count="7">
    <mergeCell ref="A1:L1"/>
    <mergeCell ref="A4:L4"/>
    <mergeCell ref="B5:E5"/>
    <mergeCell ref="F5:I5"/>
    <mergeCell ref="J5:L5"/>
    <mergeCell ref="A3:L3"/>
    <mergeCell ref="A2:L2"/>
  </mergeCells>
  <dataValidations count="2">
    <dataValidation type="list" allowBlank="1" showInputMessage="1" showErrorMessage="1" sqref="P2">
      <formula1>Справочник!B1:B63</formula1>
    </dataValidation>
    <dataValidation type="list" allowBlank="1" showInputMessage="1" showErrorMessage="1" sqref="R2">
      <formula1>Справочник!E1:E12</formula1>
    </dataValidation>
  </dataValidations>
  <pageMargins left="0.19685039370078741" right="0.19685039370078741" top="0.23622047244094491" bottom="0.39370078740157483" header="0.23622047244094491" footer="0.5118110236220472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392</v>
      </c>
      <c r="D1" s="2">
        <v>84</v>
      </c>
    </row>
    <row r="2" spans="1:15">
      <c r="D2" s="2">
        <v>85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80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101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16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24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30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45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6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27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32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0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17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18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1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23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35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13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17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9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4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27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51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0.34615384615384615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32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0.34408602150537637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9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6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0.15384615384615385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3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34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0.24444444444444444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17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46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0.26984126984126983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4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5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0.44444444444444442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2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7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0.22222222222222221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391</v>
      </c>
      <c r="D1" s="2">
        <v>87</v>
      </c>
    </row>
    <row r="2" spans="1:15">
      <c r="D2" s="2">
        <v>88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105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84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11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16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6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9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5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33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15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25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6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16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1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12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38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25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19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15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0.24193548387096775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25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58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0.30120481927710846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9.0909090909090912E-2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1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36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5.2631578947368418E-2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10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0.19607843137254902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12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7.6923076923076927E-2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'106 (6)'!D4+'106 (12)'!D4</f>
        <v>240</v>
      </c>
      <c r="E4" s="24">
        <f ca="1">'106 (6)'!E4+'106 (12)'!E4</f>
        <v>0</v>
      </c>
      <c r="F4" s="24">
        <f ca="1">'106 (6)'!F4+'106 (12)'!F4</f>
        <v>0</v>
      </c>
      <c r="G4" s="24">
        <f ca="1">'106 (6)'!G4+'106 (12)'!G4</f>
        <v>0</v>
      </c>
      <c r="H4" s="24">
        <f ca="1">'106 (6)'!H4+'106 (12)'!H4</f>
        <v>0</v>
      </c>
      <c r="I4" s="24">
        <f ca="1">'106 (6)'!I4+'106 (12)'!I4</f>
        <v>0</v>
      </c>
      <c r="J4" s="24">
        <f ca="1">'106 (6)'!J4+'106 (12)'!J4</f>
        <v>0</v>
      </c>
      <c r="K4" s="24">
        <f ca="1">'106 (6)'!K4+'106 (12)'!K4</f>
        <v>0</v>
      </c>
      <c r="L4" s="24">
        <f ca="1">'106 (6)'!L4+'106 (12)'!L4</f>
        <v>0</v>
      </c>
      <c r="M4" s="24">
        <f ca="1">'106 (6)'!M4+'106 (12)'!M4</f>
        <v>0</v>
      </c>
      <c r="N4" s="24">
        <f ca="1">'106 (6)'!N4+'106 (12)'!N4</f>
        <v>0</v>
      </c>
      <c r="O4" s="24">
        <f ca="1">'106 (6)'!O4+'106 (12)'!O4</f>
        <v>0</v>
      </c>
    </row>
    <row r="5" spans="1:15" ht="18.75">
      <c r="A5" s="22"/>
      <c r="B5" s="24"/>
      <c r="C5" s="33">
        <f>Справочник!J1</f>
        <v>2019</v>
      </c>
      <c r="D5" s="24">
        <f ca="1">'106 (6)'!D5+'106 (12)'!D5</f>
        <v>210</v>
      </c>
      <c r="E5" s="24">
        <f ca="1">'106 (6)'!E5+'106 (12)'!E5</f>
        <v>0</v>
      </c>
      <c r="F5" s="24">
        <f ca="1">'106 (6)'!F5+'106 (12)'!F5</f>
        <v>0</v>
      </c>
      <c r="G5" s="24">
        <f ca="1">'106 (6)'!G5+'106 (12)'!G5</f>
        <v>0</v>
      </c>
      <c r="H5" s="24">
        <f ca="1">'106 (6)'!H5+'106 (12)'!H5</f>
        <v>0</v>
      </c>
      <c r="I5" s="24">
        <f ca="1">'106 (6)'!I5+'106 (12)'!I5</f>
        <v>0</v>
      </c>
      <c r="J5" s="24">
        <f ca="1">'106 (6)'!J5+'106 (12)'!J5</f>
        <v>0</v>
      </c>
      <c r="K5" s="24">
        <f ca="1">'106 (6)'!K5+'106 (12)'!K5</f>
        <v>0</v>
      </c>
      <c r="L5" s="24">
        <f ca="1">'106 (6)'!L5+'106 (12)'!L5</f>
        <v>0</v>
      </c>
      <c r="M5" s="24">
        <f ca="1">'106 (6)'!M5+'106 (12)'!M5</f>
        <v>0</v>
      </c>
      <c r="N5" s="24">
        <f ca="1">'106 (6)'!N5+'106 (12)'!N5</f>
        <v>0</v>
      </c>
      <c r="O5" s="24">
        <f ca="1">'106 (6)'!O5+'106 (12)'!O5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'106 (6)'!D6+'106 (12)'!D6</f>
        <v>47</v>
      </c>
      <c r="E6" s="24">
        <f ca="1">'106 (6)'!E6+'106 (12)'!E6</f>
        <v>0</v>
      </c>
      <c r="F6" s="24">
        <f ca="1">'106 (6)'!F6+'106 (12)'!F6</f>
        <v>0</v>
      </c>
      <c r="G6" s="24">
        <f ca="1">'106 (6)'!G6+'106 (12)'!G6</f>
        <v>0</v>
      </c>
      <c r="H6" s="24">
        <f ca="1">'106 (6)'!H6+'106 (12)'!H6</f>
        <v>0</v>
      </c>
      <c r="I6" s="24">
        <f ca="1">'106 (6)'!I6+'106 (12)'!I6</f>
        <v>0</v>
      </c>
      <c r="J6" s="24">
        <f ca="1">'106 (6)'!J6+'106 (12)'!J6</f>
        <v>0</v>
      </c>
      <c r="K6" s="24">
        <f ca="1">'106 (6)'!K6+'106 (12)'!K6</f>
        <v>0</v>
      </c>
      <c r="L6" s="24">
        <f ca="1">'106 (6)'!L6+'106 (12)'!L6</f>
        <v>0</v>
      </c>
      <c r="M6" s="24">
        <f ca="1">'106 (6)'!M6+'106 (12)'!M6</f>
        <v>0</v>
      </c>
      <c r="N6" s="24">
        <f ca="1">'106 (6)'!N6+'106 (12)'!N6</f>
        <v>0</v>
      </c>
      <c r="O6" s="24">
        <f ca="1">'106 (6)'!O6+'106 (12)'!O6</f>
        <v>0</v>
      </c>
    </row>
    <row r="7" spans="1:15">
      <c r="A7" s="25"/>
      <c r="B7" s="24"/>
      <c r="C7" s="34">
        <f>Справочник!J1</f>
        <v>2019</v>
      </c>
      <c r="D7" s="24">
        <f ca="1">'106 (6)'!D7+'106 (12)'!D7</f>
        <v>42</v>
      </c>
      <c r="E7" s="24">
        <f ca="1">'106 (6)'!E7+'106 (12)'!E7</f>
        <v>0</v>
      </c>
      <c r="F7" s="24">
        <f ca="1">'106 (6)'!F7+'106 (12)'!F7</f>
        <v>0</v>
      </c>
      <c r="G7" s="24">
        <f ca="1">'106 (6)'!G7+'106 (12)'!G7</f>
        <v>0</v>
      </c>
      <c r="H7" s="24">
        <f ca="1">'106 (6)'!H7+'106 (12)'!H7</f>
        <v>0</v>
      </c>
      <c r="I7" s="24">
        <f ca="1">'106 (6)'!I7+'106 (12)'!I7</f>
        <v>0</v>
      </c>
      <c r="J7" s="24">
        <f ca="1">'106 (6)'!J7+'106 (12)'!J7</f>
        <v>0</v>
      </c>
      <c r="K7" s="24">
        <f ca="1">'106 (6)'!K7+'106 (12)'!K7</f>
        <v>0</v>
      </c>
      <c r="L7" s="24">
        <f ca="1">'106 (6)'!L7+'106 (12)'!L7</f>
        <v>0</v>
      </c>
      <c r="M7" s="24">
        <f ca="1">'106 (6)'!M7+'106 (12)'!M7</f>
        <v>0</v>
      </c>
      <c r="N7" s="24">
        <f ca="1">'106 (6)'!N7+'106 (12)'!N7</f>
        <v>0</v>
      </c>
      <c r="O7" s="24">
        <f ca="1">'106 (6)'!O7+'106 (12)'!O7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'106 (6)'!D8+'106 (12)'!D8</f>
        <v>0</v>
      </c>
      <c r="E8" s="24">
        <f ca="1">'106 (6)'!E8+'106 (12)'!E8</f>
        <v>0</v>
      </c>
      <c r="F8" s="24">
        <f ca="1">'106 (6)'!F8+'106 (12)'!F8</f>
        <v>0</v>
      </c>
      <c r="G8" s="24">
        <f ca="1">'106 (6)'!G8+'106 (12)'!G8</f>
        <v>0</v>
      </c>
      <c r="H8" s="24">
        <f ca="1">'106 (6)'!H8+'106 (12)'!H8</f>
        <v>0</v>
      </c>
      <c r="I8" s="24">
        <f ca="1">'106 (6)'!I8+'106 (12)'!I8</f>
        <v>0</v>
      </c>
      <c r="J8" s="24">
        <f ca="1">'106 (6)'!J8+'106 (12)'!J8</f>
        <v>0</v>
      </c>
      <c r="K8" s="24">
        <f ca="1">'106 (6)'!K8+'106 (12)'!K8</f>
        <v>0</v>
      </c>
      <c r="L8" s="24">
        <f ca="1">'106 (6)'!L8+'106 (12)'!L8</f>
        <v>0</v>
      </c>
      <c r="M8" s="24">
        <f ca="1">'106 (6)'!M8+'106 (12)'!M8</f>
        <v>0</v>
      </c>
      <c r="N8" s="24">
        <f ca="1">'106 (6)'!N8+'106 (12)'!N8</f>
        <v>0</v>
      </c>
      <c r="O8" s="24">
        <f ca="1">'106 (6)'!O8+'106 (12)'!O8</f>
        <v>0</v>
      </c>
    </row>
    <row r="9" spans="1:15">
      <c r="A9" s="32"/>
      <c r="B9" s="24"/>
      <c r="C9" s="34">
        <f>Справочник!J1</f>
        <v>2019</v>
      </c>
      <c r="D9" s="24">
        <f ca="1">'106 (6)'!D9+'106 (12)'!D9</f>
        <v>1</v>
      </c>
      <c r="E9" s="24">
        <f ca="1">'106 (6)'!E9+'106 (12)'!E9</f>
        <v>0</v>
      </c>
      <c r="F9" s="24">
        <f ca="1">'106 (6)'!F9+'106 (12)'!F9</f>
        <v>0</v>
      </c>
      <c r="G9" s="24">
        <f ca="1">'106 (6)'!G9+'106 (12)'!G9</f>
        <v>0</v>
      </c>
      <c r="H9" s="24">
        <f ca="1">'106 (6)'!H9+'106 (12)'!H9</f>
        <v>0</v>
      </c>
      <c r="I9" s="24">
        <f ca="1">'106 (6)'!I9+'106 (12)'!I9</f>
        <v>0</v>
      </c>
      <c r="J9" s="24">
        <f ca="1">'106 (6)'!J9+'106 (12)'!J9</f>
        <v>0</v>
      </c>
      <c r="K9" s="24">
        <f ca="1">'106 (6)'!K9+'106 (12)'!K9</f>
        <v>0</v>
      </c>
      <c r="L9" s="24">
        <f ca="1">'106 (6)'!L9+'106 (12)'!L9</f>
        <v>0</v>
      </c>
      <c r="M9" s="24">
        <f ca="1">'106 (6)'!M9+'106 (12)'!M9</f>
        <v>0</v>
      </c>
      <c r="N9" s="24">
        <f ca="1">'106 (6)'!N9+'106 (12)'!N9</f>
        <v>0</v>
      </c>
      <c r="O9" s="24">
        <f ca="1">'106 (6)'!O9+'106 (12)'!O9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'106 (6)'!D10+'106 (12)'!D10</f>
        <v>4</v>
      </c>
      <c r="E10" s="24">
        <f ca="1">'106 (6)'!E10+'106 (12)'!E10</f>
        <v>0</v>
      </c>
      <c r="F10" s="24">
        <f ca="1">'106 (6)'!F10+'106 (12)'!F10</f>
        <v>0</v>
      </c>
      <c r="G10" s="24">
        <f ca="1">'106 (6)'!G10+'106 (12)'!G10</f>
        <v>0</v>
      </c>
      <c r="H10" s="24">
        <f ca="1">'106 (6)'!H10+'106 (12)'!H10</f>
        <v>0</v>
      </c>
      <c r="I10" s="24">
        <f ca="1">'106 (6)'!I10+'106 (12)'!I10</f>
        <v>0</v>
      </c>
      <c r="J10" s="24">
        <f ca="1">'106 (6)'!J10+'106 (12)'!J10</f>
        <v>0</v>
      </c>
      <c r="K10" s="24">
        <f ca="1">'106 (6)'!K10+'106 (12)'!K10</f>
        <v>0</v>
      </c>
      <c r="L10" s="24">
        <f ca="1">'106 (6)'!L10+'106 (12)'!L10</f>
        <v>0</v>
      </c>
      <c r="M10" s="24">
        <f ca="1">'106 (6)'!M10+'106 (12)'!M10</f>
        <v>0</v>
      </c>
      <c r="N10" s="24">
        <f ca="1">'106 (6)'!N10+'106 (12)'!N10</f>
        <v>0</v>
      </c>
      <c r="O10" s="24">
        <f ca="1">'106 (6)'!O10+'106 (12)'!O10</f>
        <v>0</v>
      </c>
    </row>
    <row r="11" spans="1:15">
      <c r="A11" s="29"/>
      <c r="B11" s="24"/>
      <c r="C11" s="33">
        <f>Справочник!J1</f>
        <v>2019</v>
      </c>
      <c r="D11" s="24">
        <f ca="1">'106 (6)'!D11+'106 (12)'!D11</f>
        <v>2</v>
      </c>
      <c r="E11" s="24">
        <f ca="1">'106 (6)'!E11+'106 (12)'!E11</f>
        <v>0</v>
      </c>
      <c r="F11" s="24">
        <f ca="1">'106 (6)'!F11+'106 (12)'!F11</f>
        <v>0</v>
      </c>
      <c r="G11" s="24">
        <f ca="1">'106 (6)'!G11+'106 (12)'!G11</f>
        <v>0</v>
      </c>
      <c r="H11" s="24">
        <f ca="1">'106 (6)'!H11+'106 (12)'!H11</f>
        <v>0</v>
      </c>
      <c r="I11" s="24">
        <f ca="1">'106 (6)'!I11+'106 (12)'!I11</f>
        <v>0</v>
      </c>
      <c r="J11" s="24">
        <f ca="1">'106 (6)'!J11+'106 (12)'!J11</f>
        <v>0</v>
      </c>
      <c r="K11" s="24">
        <f ca="1">'106 (6)'!K11+'106 (12)'!K11</f>
        <v>0</v>
      </c>
      <c r="L11" s="24">
        <f ca="1">'106 (6)'!L11+'106 (12)'!L11</f>
        <v>0</v>
      </c>
      <c r="M11" s="24">
        <f ca="1">'106 (6)'!M11+'106 (12)'!M11</f>
        <v>0</v>
      </c>
      <c r="N11" s="24">
        <f ca="1">'106 (6)'!N11+'106 (12)'!N11</f>
        <v>0</v>
      </c>
      <c r="O11" s="24">
        <f ca="1">'106 (6)'!O11+'106 (12)'!O11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'106 (6)'!D12+'106 (12)'!D12</f>
        <v>0</v>
      </c>
      <c r="E12" s="24">
        <f ca="1">'106 (6)'!E12+'106 (12)'!E12</f>
        <v>0</v>
      </c>
      <c r="F12" s="24">
        <f ca="1">'106 (6)'!F12+'106 (12)'!F12</f>
        <v>0</v>
      </c>
      <c r="G12" s="24">
        <f ca="1">'106 (6)'!G12+'106 (12)'!G12</f>
        <v>0</v>
      </c>
      <c r="H12" s="24">
        <f ca="1">'106 (6)'!H12+'106 (12)'!H12</f>
        <v>0</v>
      </c>
      <c r="I12" s="24">
        <f ca="1">'106 (6)'!I12+'106 (12)'!I12</f>
        <v>0</v>
      </c>
      <c r="J12" s="24">
        <f ca="1">'106 (6)'!J12+'106 (12)'!J12</f>
        <v>0</v>
      </c>
      <c r="K12" s="24">
        <f ca="1">'106 (6)'!K12+'106 (12)'!K12</f>
        <v>0</v>
      </c>
      <c r="L12" s="24">
        <f ca="1">'106 (6)'!L12+'106 (12)'!L12</f>
        <v>0</v>
      </c>
      <c r="M12" s="24">
        <f ca="1">'106 (6)'!M12+'106 (12)'!M12</f>
        <v>0</v>
      </c>
      <c r="N12" s="24">
        <f ca="1">'106 (6)'!N12+'106 (12)'!N12</f>
        <v>0</v>
      </c>
      <c r="O12" s="24">
        <f ca="1">'106 (6)'!O12+'106 (12)'!O12</f>
        <v>0</v>
      </c>
    </row>
    <row r="13" spans="1:15">
      <c r="A13" s="28"/>
      <c r="B13" s="24"/>
      <c r="C13" s="33">
        <f>Справочник!J1</f>
        <v>2019</v>
      </c>
      <c r="D13" s="24">
        <f ca="1">'106 (6)'!D13+'106 (12)'!D13</f>
        <v>0</v>
      </c>
      <c r="E13" s="24">
        <f ca="1">'106 (6)'!E13+'106 (12)'!E13</f>
        <v>0</v>
      </c>
      <c r="F13" s="24">
        <f ca="1">'106 (6)'!F13+'106 (12)'!F13</f>
        <v>0</v>
      </c>
      <c r="G13" s="24">
        <f ca="1">'106 (6)'!G13+'106 (12)'!G13</f>
        <v>0</v>
      </c>
      <c r="H13" s="24">
        <f ca="1">'106 (6)'!H13+'106 (12)'!H13</f>
        <v>0</v>
      </c>
      <c r="I13" s="24">
        <f ca="1">'106 (6)'!I13+'106 (12)'!I13</f>
        <v>0</v>
      </c>
      <c r="J13" s="24">
        <f ca="1">'106 (6)'!J13+'106 (12)'!J13</f>
        <v>0</v>
      </c>
      <c r="K13" s="24">
        <f ca="1">'106 (6)'!K13+'106 (12)'!K13</f>
        <v>0</v>
      </c>
      <c r="L13" s="24">
        <f ca="1">'106 (6)'!L13+'106 (12)'!L13</f>
        <v>0</v>
      </c>
      <c r="M13" s="24">
        <f ca="1">'106 (6)'!M13+'106 (12)'!M13</f>
        <v>0</v>
      </c>
      <c r="N13" s="24">
        <f ca="1">'106 (6)'!N13+'106 (12)'!N13</f>
        <v>0</v>
      </c>
      <c r="O13" s="24">
        <f ca="1">'106 (6)'!O13+'106 (12)'!O13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'106 (6)'!D14+'106 (12)'!D14</f>
        <v>0</v>
      </c>
      <c r="E14" s="24">
        <f ca="1">'106 (6)'!E14+'106 (12)'!E14</f>
        <v>0</v>
      </c>
      <c r="F14" s="24">
        <f ca="1">'106 (6)'!F14+'106 (12)'!F14</f>
        <v>0</v>
      </c>
      <c r="G14" s="24">
        <f ca="1">'106 (6)'!G14+'106 (12)'!G14</f>
        <v>0</v>
      </c>
      <c r="H14" s="24">
        <f ca="1">'106 (6)'!H14+'106 (12)'!H14</f>
        <v>0</v>
      </c>
      <c r="I14" s="24">
        <f ca="1">'106 (6)'!I14+'106 (12)'!I14</f>
        <v>0</v>
      </c>
      <c r="J14" s="24">
        <f ca="1">'106 (6)'!J14+'106 (12)'!J14</f>
        <v>0</v>
      </c>
      <c r="K14" s="24">
        <f ca="1">'106 (6)'!K14+'106 (12)'!K14</f>
        <v>0</v>
      </c>
      <c r="L14" s="24">
        <f ca="1">'106 (6)'!L14+'106 (12)'!L14</f>
        <v>0</v>
      </c>
      <c r="M14" s="24">
        <f ca="1">'106 (6)'!M14+'106 (12)'!M14</f>
        <v>0</v>
      </c>
      <c r="N14" s="24">
        <f ca="1">'106 (6)'!N14+'106 (12)'!N14</f>
        <v>0</v>
      </c>
      <c r="O14" s="24">
        <f ca="1">'106 (6)'!O14+'106 (12)'!O14</f>
        <v>0</v>
      </c>
    </row>
    <row r="15" spans="1:15">
      <c r="A15" s="27"/>
      <c r="B15" s="24"/>
      <c r="C15" s="33">
        <f>Справочник!J1</f>
        <v>2019</v>
      </c>
      <c r="D15" s="24">
        <f ca="1">'106 (6)'!D15+'106 (12)'!D15</f>
        <v>0</v>
      </c>
      <c r="E15" s="24">
        <f ca="1">'106 (6)'!E15+'106 (12)'!E15</f>
        <v>0</v>
      </c>
      <c r="F15" s="24">
        <f ca="1">'106 (6)'!F15+'106 (12)'!F15</f>
        <v>0</v>
      </c>
      <c r="G15" s="24">
        <f ca="1">'106 (6)'!G15+'106 (12)'!G15</f>
        <v>0</v>
      </c>
      <c r="H15" s="24">
        <f ca="1">'106 (6)'!H15+'106 (12)'!H15</f>
        <v>0</v>
      </c>
      <c r="I15" s="24">
        <f ca="1">'106 (6)'!I15+'106 (12)'!I15</f>
        <v>0</v>
      </c>
      <c r="J15" s="24">
        <f ca="1">'106 (6)'!J15+'106 (12)'!J15</f>
        <v>0</v>
      </c>
      <c r="K15" s="24">
        <f ca="1">'106 (6)'!K15+'106 (12)'!K15</f>
        <v>0</v>
      </c>
      <c r="L15" s="24">
        <f ca="1">'106 (6)'!L15+'106 (12)'!L15</f>
        <v>0</v>
      </c>
      <c r="M15" s="24">
        <f ca="1">'106 (6)'!M15+'106 (12)'!M15</f>
        <v>0</v>
      </c>
      <c r="N15" s="24">
        <f ca="1">'106 (6)'!N15+'106 (12)'!N15</f>
        <v>0</v>
      </c>
      <c r="O15" s="24">
        <f ca="1">'106 (6)'!O15+'106 (12)'!O15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'106 (6)'!D16+'106 (12)'!D16</f>
        <v>113</v>
      </c>
      <c r="E16" s="24">
        <f ca="1">'106 (6)'!E16+'106 (12)'!E16</f>
        <v>0</v>
      </c>
      <c r="F16" s="24">
        <f ca="1">'106 (6)'!F16+'106 (12)'!F16</f>
        <v>0</v>
      </c>
      <c r="G16" s="24">
        <f ca="1">'106 (6)'!G16+'106 (12)'!G16</f>
        <v>0</v>
      </c>
      <c r="H16" s="24">
        <f ca="1">'106 (6)'!H16+'106 (12)'!H16</f>
        <v>0</v>
      </c>
      <c r="I16" s="24">
        <f ca="1">'106 (6)'!I16+'106 (12)'!I16</f>
        <v>0</v>
      </c>
      <c r="J16" s="24">
        <f ca="1">'106 (6)'!J16+'106 (12)'!J16</f>
        <v>0</v>
      </c>
      <c r="K16" s="24">
        <f ca="1">'106 (6)'!K16+'106 (12)'!K16</f>
        <v>0</v>
      </c>
      <c r="L16" s="24">
        <f ca="1">'106 (6)'!L16+'106 (12)'!L16</f>
        <v>0</v>
      </c>
      <c r="M16" s="24">
        <f ca="1">'106 (6)'!M16+'106 (12)'!M16</f>
        <v>0</v>
      </c>
      <c r="N16" s="24">
        <f ca="1">'106 (6)'!N16+'106 (12)'!N16</f>
        <v>0</v>
      </c>
      <c r="O16" s="24">
        <f ca="1">'106 (6)'!O16+'106 (12)'!O16</f>
        <v>0</v>
      </c>
    </row>
    <row r="17" spans="1:15">
      <c r="A17" s="25"/>
      <c r="B17" s="24"/>
      <c r="C17" s="33">
        <f>Справочник!J1</f>
        <v>2019</v>
      </c>
      <c r="D17" s="24">
        <f ca="1">'106 (6)'!D17+'106 (12)'!D17</f>
        <v>96</v>
      </c>
      <c r="E17" s="24">
        <f ca="1">'106 (6)'!E17+'106 (12)'!E17</f>
        <v>0</v>
      </c>
      <c r="F17" s="24">
        <f ca="1">'106 (6)'!F17+'106 (12)'!F17</f>
        <v>0</v>
      </c>
      <c r="G17" s="24">
        <f ca="1">'106 (6)'!G17+'106 (12)'!G17</f>
        <v>0</v>
      </c>
      <c r="H17" s="24">
        <f ca="1">'106 (6)'!H17+'106 (12)'!H17</f>
        <v>0</v>
      </c>
      <c r="I17" s="24">
        <f ca="1">'106 (6)'!I17+'106 (12)'!I17</f>
        <v>0</v>
      </c>
      <c r="J17" s="24">
        <f ca="1">'106 (6)'!J17+'106 (12)'!J17</f>
        <v>0</v>
      </c>
      <c r="K17" s="24">
        <f ca="1">'106 (6)'!K17+'106 (12)'!K17</f>
        <v>0</v>
      </c>
      <c r="L17" s="24">
        <f ca="1">'106 (6)'!L17+'106 (12)'!L17</f>
        <v>0</v>
      </c>
      <c r="M17" s="24">
        <f ca="1">'106 (6)'!M17+'106 (12)'!M17</f>
        <v>0</v>
      </c>
      <c r="N17" s="24">
        <f ca="1">'106 (6)'!N17+'106 (12)'!N17</f>
        <v>0</v>
      </c>
      <c r="O17" s="24">
        <f ca="1">'106 (6)'!O17+'106 (12)'!O17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'106 (6)'!D18+'106 (12)'!D18</f>
        <v>2</v>
      </c>
      <c r="E18" s="24">
        <f ca="1">'106 (6)'!E18+'106 (12)'!E18</f>
        <v>0</v>
      </c>
      <c r="F18" s="24">
        <f ca="1">'106 (6)'!F18+'106 (12)'!F18</f>
        <v>0</v>
      </c>
      <c r="G18" s="24">
        <f ca="1">'106 (6)'!G18+'106 (12)'!G18</f>
        <v>0</v>
      </c>
      <c r="H18" s="24">
        <f ca="1">'106 (6)'!H18+'106 (12)'!H18</f>
        <v>0</v>
      </c>
      <c r="I18" s="24">
        <f ca="1">'106 (6)'!I18+'106 (12)'!I18</f>
        <v>0</v>
      </c>
      <c r="J18" s="24">
        <f ca="1">'106 (6)'!J18+'106 (12)'!J18</f>
        <v>0</v>
      </c>
      <c r="K18" s="24">
        <f ca="1">'106 (6)'!K18+'106 (12)'!K18</f>
        <v>0</v>
      </c>
      <c r="L18" s="24">
        <f ca="1">'106 (6)'!L18+'106 (12)'!L18</f>
        <v>0</v>
      </c>
      <c r="M18" s="24">
        <f ca="1">'106 (6)'!M18+'106 (12)'!M18</f>
        <v>0</v>
      </c>
      <c r="N18" s="24">
        <f ca="1">'106 (6)'!N18+'106 (12)'!N18</f>
        <v>0</v>
      </c>
      <c r="O18" s="24">
        <f ca="1">'106 (6)'!O18+'106 (12)'!O18</f>
        <v>0</v>
      </c>
    </row>
    <row r="19" spans="1:15">
      <c r="A19" s="27"/>
      <c r="B19" s="24"/>
      <c r="C19" s="33">
        <f>Справочник!J1</f>
        <v>2019</v>
      </c>
      <c r="D19" s="24">
        <f ca="1">'106 (6)'!D19+'106 (12)'!D19</f>
        <v>1</v>
      </c>
      <c r="E19" s="24">
        <f ca="1">'106 (6)'!E19+'106 (12)'!E19</f>
        <v>0</v>
      </c>
      <c r="F19" s="24">
        <f ca="1">'106 (6)'!F19+'106 (12)'!F19</f>
        <v>0</v>
      </c>
      <c r="G19" s="24">
        <f ca="1">'106 (6)'!G19+'106 (12)'!G19</f>
        <v>0</v>
      </c>
      <c r="H19" s="24">
        <f ca="1">'106 (6)'!H19+'106 (12)'!H19</f>
        <v>0</v>
      </c>
      <c r="I19" s="24">
        <f ca="1">'106 (6)'!I19+'106 (12)'!I19</f>
        <v>0</v>
      </c>
      <c r="J19" s="24">
        <f ca="1">'106 (6)'!J19+'106 (12)'!J19</f>
        <v>0</v>
      </c>
      <c r="K19" s="24">
        <f ca="1">'106 (6)'!K19+'106 (12)'!K19</f>
        <v>0</v>
      </c>
      <c r="L19" s="24">
        <f ca="1">'106 (6)'!L19+'106 (12)'!L19</f>
        <v>0</v>
      </c>
      <c r="M19" s="24">
        <f ca="1">'106 (6)'!M19+'106 (12)'!M19</f>
        <v>0</v>
      </c>
      <c r="N19" s="24">
        <f ca="1">'106 (6)'!N19+'106 (12)'!N19</f>
        <v>0</v>
      </c>
      <c r="O19" s="24">
        <f ca="1">'106 (6)'!O19+'106 (12)'!O19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'106 (6)'!D20+'106 (12)'!D20</f>
        <v>3</v>
      </c>
      <c r="E20" s="24">
        <f ca="1">'106 (6)'!E20+'106 (12)'!E20</f>
        <v>0</v>
      </c>
      <c r="F20" s="24">
        <f ca="1">'106 (6)'!F20+'106 (12)'!F20</f>
        <v>0</v>
      </c>
      <c r="G20" s="24">
        <f ca="1">'106 (6)'!G20+'106 (12)'!G20</f>
        <v>0</v>
      </c>
      <c r="H20" s="24">
        <f ca="1">'106 (6)'!H20+'106 (12)'!H20</f>
        <v>0</v>
      </c>
      <c r="I20" s="24">
        <f ca="1">'106 (6)'!I20+'106 (12)'!I20</f>
        <v>0</v>
      </c>
      <c r="J20" s="24">
        <f ca="1">'106 (6)'!J20+'106 (12)'!J20</f>
        <v>0</v>
      </c>
      <c r="K20" s="24">
        <f ca="1">'106 (6)'!K20+'106 (12)'!K20</f>
        <v>0</v>
      </c>
      <c r="L20" s="24">
        <f ca="1">'106 (6)'!L20+'106 (12)'!L20</f>
        <v>0</v>
      </c>
      <c r="M20" s="24">
        <f ca="1">'106 (6)'!M20+'106 (12)'!M20</f>
        <v>0</v>
      </c>
      <c r="N20" s="24">
        <f ca="1">'106 (6)'!N20+'106 (12)'!N20</f>
        <v>0</v>
      </c>
      <c r="O20" s="24">
        <f ca="1">'106 (6)'!O20+'106 (12)'!O20</f>
        <v>0</v>
      </c>
    </row>
    <row r="21" spans="1:15">
      <c r="A21" s="25"/>
      <c r="B21" s="24"/>
      <c r="C21" s="33">
        <f>Справочник!J1</f>
        <v>2019</v>
      </c>
      <c r="D21" s="24">
        <f ca="1">'106 (6)'!D21+'106 (12)'!D21</f>
        <v>2</v>
      </c>
      <c r="E21" s="24">
        <f ca="1">'106 (6)'!E21+'106 (12)'!E21</f>
        <v>0</v>
      </c>
      <c r="F21" s="24">
        <f ca="1">'106 (6)'!F21+'106 (12)'!F21</f>
        <v>0</v>
      </c>
      <c r="G21" s="24">
        <f ca="1">'106 (6)'!G21+'106 (12)'!G21</f>
        <v>0</v>
      </c>
      <c r="H21" s="24">
        <f ca="1">'106 (6)'!H21+'106 (12)'!H21</f>
        <v>0</v>
      </c>
      <c r="I21" s="24">
        <f ca="1">'106 (6)'!I21+'106 (12)'!I21</f>
        <v>0</v>
      </c>
      <c r="J21" s="24">
        <f ca="1">'106 (6)'!J21+'106 (12)'!J21</f>
        <v>0</v>
      </c>
      <c r="K21" s="24">
        <f ca="1">'106 (6)'!K21+'106 (12)'!K21</f>
        <v>0</v>
      </c>
      <c r="L21" s="24">
        <f ca="1">'106 (6)'!L21+'106 (12)'!L21</f>
        <v>0</v>
      </c>
      <c r="M21" s="24">
        <f ca="1">'106 (6)'!M21+'106 (12)'!M21</f>
        <v>0</v>
      </c>
      <c r="N21" s="24">
        <f ca="1">'106 (6)'!N21+'106 (12)'!N21</f>
        <v>0</v>
      </c>
      <c r="O21" s="24">
        <f ca="1">'106 (6)'!O21+'106 (12)'!O21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'106 (6)'!D22+'106 (12)'!D22</f>
        <v>1</v>
      </c>
      <c r="E22" s="24">
        <f ca="1">'106 (6)'!E22+'106 (12)'!E22</f>
        <v>0</v>
      </c>
      <c r="F22" s="24">
        <f ca="1">'106 (6)'!F22+'106 (12)'!F22</f>
        <v>0</v>
      </c>
      <c r="G22" s="24">
        <f ca="1">'106 (6)'!G22+'106 (12)'!G22</f>
        <v>0</v>
      </c>
      <c r="H22" s="24">
        <f ca="1">'106 (6)'!H22+'106 (12)'!H22</f>
        <v>0</v>
      </c>
      <c r="I22" s="24">
        <f ca="1">'106 (6)'!I22+'106 (12)'!I22</f>
        <v>0</v>
      </c>
      <c r="J22" s="24">
        <f ca="1">'106 (6)'!J22+'106 (12)'!J22</f>
        <v>0</v>
      </c>
      <c r="K22" s="24">
        <f ca="1">'106 (6)'!K22+'106 (12)'!K22</f>
        <v>0</v>
      </c>
      <c r="L22" s="24">
        <f ca="1">'106 (6)'!L22+'106 (12)'!L22</f>
        <v>0</v>
      </c>
      <c r="M22" s="24">
        <f ca="1">'106 (6)'!M22+'106 (12)'!M22</f>
        <v>0</v>
      </c>
      <c r="N22" s="24">
        <f ca="1">'106 (6)'!N22+'106 (12)'!N22</f>
        <v>0</v>
      </c>
      <c r="O22" s="24">
        <f ca="1">'106 (6)'!O22+'106 (12)'!O22</f>
        <v>0</v>
      </c>
    </row>
    <row r="23" spans="1:15">
      <c r="A23" s="27"/>
      <c r="B23" s="24"/>
      <c r="C23" s="33">
        <f>Справочник!J1</f>
        <v>2019</v>
      </c>
      <c r="D23" s="24">
        <f ca="1">'106 (6)'!D23+'106 (12)'!D23</f>
        <v>1</v>
      </c>
      <c r="E23" s="24">
        <f ca="1">'106 (6)'!E23+'106 (12)'!E23</f>
        <v>0</v>
      </c>
      <c r="F23" s="24">
        <f ca="1">'106 (6)'!F23+'106 (12)'!F23</f>
        <v>0</v>
      </c>
      <c r="G23" s="24">
        <f ca="1">'106 (6)'!G23+'106 (12)'!G23</f>
        <v>0</v>
      </c>
      <c r="H23" s="24">
        <f ca="1">'106 (6)'!H23+'106 (12)'!H23</f>
        <v>0</v>
      </c>
      <c r="I23" s="24">
        <f ca="1">'106 (6)'!I23+'106 (12)'!I23</f>
        <v>0</v>
      </c>
      <c r="J23" s="24">
        <f ca="1">'106 (6)'!J23+'106 (12)'!J23</f>
        <v>0</v>
      </c>
      <c r="K23" s="24">
        <f ca="1">'106 (6)'!K23+'106 (12)'!K23</f>
        <v>0</v>
      </c>
      <c r="L23" s="24">
        <f ca="1">'106 (6)'!L23+'106 (12)'!L23</f>
        <v>0</v>
      </c>
      <c r="M23" s="24">
        <f ca="1">'106 (6)'!M23+'106 (12)'!M23</f>
        <v>0</v>
      </c>
      <c r="N23" s="24">
        <f ca="1">'106 (6)'!N23+'106 (12)'!N23</f>
        <v>0</v>
      </c>
      <c r="O23" s="24">
        <f ca="1">'106 (6)'!O23+'106 (12)'!O23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'106 (6)'!D24+'106 (12)'!D24</f>
        <v>0</v>
      </c>
      <c r="E24" s="24">
        <f ca="1">'106 (6)'!E24+'106 (12)'!E24</f>
        <v>0</v>
      </c>
      <c r="F24" s="24">
        <f ca="1">'106 (6)'!F24+'106 (12)'!F24</f>
        <v>0</v>
      </c>
      <c r="G24" s="24">
        <f ca="1">'106 (6)'!G24+'106 (12)'!G24</f>
        <v>0</v>
      </c>
      <c r="H24" s="24">
        <f ca="1">'106 (6)'!H24+'106 (12)'!H24</f>
        <v>0</v>
      </c>
      <c r="I24" s="24">
        <f ca="1">'106 (6)'!I24+'106 (12)'!I24</f>
        <v>0</v>
      </c>
      <c r="J24" s="24">
        <f ca="1">'106 (6)'!J24+'106 (12)'!J24</f>
        <v>0</v>
      </c>
      <c r="K24" s="24">
        <f ca="1">'106 (6)'!K24+'106 (12)'!K24</f>
        <v>0</v>
      </c>
      <c r="L24" s="24">
        <f ca="1">'106 (6)'!L24+'106 (12)'!L24</f>
        <v>0</v>
      </c>
      <c r="M24" s="24">
        <f ca="1">'106 (6)'!M24+'106 (12)'!M24</f>
        <v>0</v>
      </c>
      <c r="N24" s="24">
        <f ca="1">'106 (6)'!N24+'106 (12)'!N24</f>
        <v>0</v>
      </c>
      <c r="O24" s="24">
        <f ca="1">'106 (6)'!O24+'106 (12)'!O24</f>
        <v>0</v>
      </c>
    </row>
    <row r="25" spans="1:15">
      <c r="A25" s="25"/>
      <c r="B25" s="24"/>
      <c r="C25" s="33">
        <f>Справочник!J1</f>
        <v>2019</v>
      </c>
      <c r="D25" s="24">
        <f ca="1">'106 (6)'!D25+'106 (12)'!D25</f>
        <v>0</v>
      </c>
      <c r="E25" s="24">
        <f ca="1">'106 (6)'!E25+'106 (12)'!E25</f>
        <v>0</v>
      </c>
      <c r="F25" s="24">
        <f ca="1">'106 (6)'!F25+'106 (12)'!F25</f>
        <v>0</v>
      </c>
      <c r="G25" s="24">
        <f ca="1">'106 (6)'!G25+'106 (12)'!G25</f>
        <v>0</v>
      </c>
      <c r="H25" s="24">
        <f ca="1">'106 (6)'!H25+'106 (12)'!H25</f>
        <v>0</v>
      </c>
      <c r="I25" s="24">
        <f ca="1">'106 (6)'!I25+'106 (12)'!I25</f>
        <v>0</v>
      </c>
      <c r="J25" s="24">
        <f ca="1">'106 (6)'!J25+'106 (12)'!J25</f>
        <v>0</v>
      </c>
      <c r="K25" s="24">
        <f ca="1">'106 (6)'!K25+'106 (12)'!K25</f>
        <v>0</v>
      </c>
      <c r="L25" s="24">
        <f ca="1">'106 (6)'!L25+'106 (12)'!L25</f>
        <v>0</v>
      </c>
      <c r="M25" s="24">
        <f ca="1">'106 (6)'!M25+'106 (12)'!M25</f>
        <v>0</v>
      </c>
      <c r="N25" s="24">
        <f ca="1">'106 (6)'!N25+'106 (12)'!N25</f>
        <v>0</v>
      </c>
      <c r="O25" s="24">
        <f ca="1">'106 (6)'!O25+'106 (12)'!O25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'106 (6)'!D26+'106 (12)'!D26</f>
        <v>0</v>
      </c>
      <c r="E26" s="24">
        <f ca="1">'106 (6)'!E26+'106 (12)'!E26</f>
        <v>0</v>
      </c>
      <c r="F26" s="24">
        <f ca="1">'106 (6)'!F26+'106 (12)'!F26</f>
        <v>0</v>
      </c>
      <c r="G26" s="24">
        <f ca="1">'106 (6)'!G26+'106 (12)'!G26</f>
        <v>0</v>
      </c>
      <c r="H26" s="24">
        <f ca="1">'106 (6)'!H26+'106 (12)'!H26</f>
        <v>0</v>
      </c>
      <c r="I26" s="24">
        <f ca="1">'106 (6)'!I26+'106 (12)'!I26</f>
        <v>0</v>
      </c>
      <c r="J26" s="24">
        <f ca="1">'106 (6)'!J26+'106 (12)'!J26</f>
        <v>0</v>
      </c>
      <c r="K26" s="24">
        <f ca="1">'106 (6)'!K26+'106 (12)'!K26</f>
        <v>0</v>
      </c>
      <c r="L26" s="24">
        <f ca="1">'106 (6)'!L26+'106 (12)'!L26</f>
        <v>0</v>
      </c>
      <c r="M26" s="24">
        <f ca="1">'106 (6)'!M26+'106 (12)'!M26</f>
        <v>0</v>
      </c>
      <c r="N26" s="24">
        <f ca="1">'106 (6)'!N26+'106 (12)'!N26</f>
        <v>0</v>
      </c>
      <c r="O26" s="24">
        <f ca="1">'106 (6)'!O26+'106 (12)'!O26</f>
        <v>0</v>
      </c>
    </row>
    <row r="27" spans="1:15">
      <c r="A27" s="29"/>
      <c r="B27" s="24"/>
      <c r="C27" s="33">
        <f>Справочник!J1</f>
        <v>2019</v>
      </c>
      <c r="D27" s="24">
        <f ca="1">'106 (6)'!D27+'106 (12)'!D27</f>
        <v>1</v>
      </c>
      <c r="E27" s="24">
        <f ca="1">'106 (6)'!E27+'106 (12)'!E27</f>
        <v>0</v>
      </c>
      <c r="F27" s="24">
        <f ca="1">'106 (6)'!F27+'106 (12)'!F27</f>
        <v>0</v>
      </c>
      <c r="G27" s="24">
        <f ca="1">'106 (6)'!G27+'106 (12)'!G27</f>
        <v>0</v>
      </c>
      <c r="H27" s="24">
        <f ca="1">'106 (6)'!H27+'106 (12)'!H27</f>
        <v>0</v>
      </c>
      <c r="I27" s="24">
        <f ca="1">'106 (6)'!I27+'106 (12)'!I27</f>
        <v>0</v>
      </c>
      <c r="J27" s="24">
        <f ca="1">'106 (6)'!J27+'106 (12)'!J27</f>
        <v>0</v>
      </c>
      <c r="K27" s="24">
        <f ca="1">'106 (6)'!K27+'106 (12)'!K27</f>
        <v>0</v>
      </c>
      <c r="L27" s="24">
        <f ca="1">'106 (6)'!L27+'106 (12)'!L27</f>
        <v>0</v>
      </c>
      <c r="M27" s="24">
        <f ca="1">'106 (6)'!M27+'106 (12)'!M27</f>
        <v>0</v>
      </c>
      <c r="N27" s="24">
        <f ca="1">'106 (6)'!N27+'106 (12)'!N27</f>
        <v>0</v>
      </c>
      <c r="O27" s="24">
        <f ca="1">'106 (6)'!O27+'106 (12)'!O27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'106 (6)'!D28+'106 (12)'!D28</f>
        <v>26</v>
      </c>
      <c r="E28" s="24">
        <f ca="1">'106 (6)'!E28+'106 (12)'!E28</f>
        <v>0</v>
      </c>
      <c r="F28" s="24">
        <f ca="1">'106 (6)'!F28+'106 (12)'!F28</f>
        <v>0</v>
      </c>
      <c r="G28" s="24">
        <f ca="1">'106 (6)'!G28+'106 (12)'!G28</f>
        <v>0</v>
      </c>
      <c r="H28" s="24">
        <f ca="1">'106 (6)'!H28+'106 (12)'!H28</f>
        <v>0</v>
      </c>
      <c r="I28" s="24">
        <f ca="1">'106 (6)'!I28+'106 (12)'!I28</f>
        <v>0</v>
      </c>
      <c r="J28" s="24">
        <f ca="1">'106 (6)'!J28+'106 (12)'!J28</f>
        <v>0</v>
      </c>
      <c r="K28" s="24">
        <f ca="1">'106 (6)'!K28+'106 (12)'!K28</f>
        <v>0</v>
      </c>
      <c r="L28" s="24">
        <f ca="1">'106 (6)'!L28+'106 (12)'!L28</f>
        <v>0</v>
      </c>
      <c r="M28" s="24">
        <f ca="1">'106 (6)'!M28+'106 (12)'!M28</f>
        <v>0</v>
      </c>
      <c r="N28" s="24">
        <f ca="1">'106 (6)'!N28+'106 (12)'!N28</f>
        <v>0</v>
      </c>
      <c r="O28" s="24">
        <f ca="1">'106 (6)'!O28+'106 (12)'!O28</f>
        <v>0</v>
      </c>
    </row>
    <row r="29" spans="1:15">
      <c r="A29" s="28"/>
      <c r="B29" s="24"/>
      <c r="C29" s="33">
        <f>Справочник!J1</f>
        <v>2019</v>
      </c>
      <c r="D29" s="24">
        <f ca="1">'106 (6)'!D29+'106 (12)'!D29</f>
        <v>23</v>
      </c>
      <c r="E29" s="24">
        <f ca="1">'106 (6)'!E29+'106 (12)'!E29</f>
        <v>0</v>
      </c>
      <c r="F29" s="24">
        <f ca="1">'106 (6)'!F29+'106 (12)'!F29</f>
        <v>0</v>
      </c>
      <c r="G29" s="24">
        <f ca="1">'106 (6)'!G29+'106 (12)'!G29</f>
        <v>0</v>
      </c>
      <c r="H29" s="24">
        <f ca="1">'106 (6)'!H29+'106 (12)'!H29</f>
        <v>0</v>
      </c>
      <c r="I29" s="24">
        <f ca="1">'106 (6)'!I29+'106 (12)'!I29</f>
        <v>0</v>
      </c>
      <c r="J29" s="24">
        <f ca="1">'106 (6)'!J29+'106 (12)'!J29</f>
        <v>0</v>
      </c>
      <c r="K29" s="24">
        <f ca="1">'106 (6)'!K29+'106 (12)'!K29</f>
        <v>0</v>
      </c>
      <c r="L29" s="24">
        <f ca="1">'106 (6)'!L29+'106 (12)'!L29</f>
        <v>0</v>
      </c>
      <c r="M29" s="24">
        <f ca="1">'106 (6)'!M29+'106 (12)'!M29</f>
        <v>0</v>
      </c>
      <c r="N29" s="24">
        <f ca="1">'106 (6)'!N29+'106 (12)'!N29</f>
        <v>0</v>
      </c>
      <c r="O29" s="24">
        <f ca="1">'106 (6)'!O29+'106 (12)'!O29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'106 (6)'!D30+'106 (12)'!D30</f>
        <v>3</v>
      </c>
      <c r="E30" s="24">
        <f ca="1">'106 (6)'!E30+'106 (12)'!E30</f>
        <v>0</v>
      </c>
      <c r="F30" s="24">
        <f ca="1">'106 (6)'!F30+'106 (12)'!F30</f>
        <v>0</v>
      </c>
      <c r="G30" s="24">
        <f ca="1">'106 (6)'!G30+'106 (12)'!G30</f>
        <v>0</v>
      </c>
      <c r="H30" s="24">
        <f ca="1">'106 (6)'!H30+'106 (12)'!H30</f>
        <v>0</v>
      </c>
      <c r="I30" s="24">
        <f ca="1">'106 (6)'!I30+'106 (12)'!I30</f>
        <v>0</v>
      </c>
      <c r="J30" s="24">
        <f ca="1">'106 (6)'!J30+'106 (12)'!J30</f>
        <v>0</v>
      </c>
      <c r="K30" s="24">
        <f ca="1">'106 (6)'!K30+'106 (12)'!K30</f>
        <v>0</v>
      </c>
      <c r="L30" s="24">
        <f ca="1">'106 (6)'!L30+'106 (12)'!L30</f>
        <v>0</v>
      </c>
      <c r="M30" s="24">
        <f ca="1">'106 (6)'!M30+'106 (12)'!M30</f>
        <v>0</v>
      </c>
      <c r="N30" s="24">
        <f ca="1">'106 (6)'!N30+'106 (12)'!N30</f>
        <v>0</v>
      </c>
      <c r="O30" s="24">
        <f ca="1">'106 (6)'!O30+'106 (12)'!O30</f>
        <v>0</v>
      </c>
    </row>
    <row r="31" spans="1:15">
      <c r="A31" s="27"/>
      <c r="B31" s="24"/>
      <c r="C31" s="33">
        <f>Справочник!J1</f>
        <v>2019</v>
      </c>
      <c r="D31" s="24">
        <f ca="1">'106 (6)'!D31+'106 (12)'!D31</f>
        <v>2</v>
      </c>
      <c r="E31" s="24">
        <f ca="1">'106 (6)'!E31+'106 (12)'!E31</f>
        <v>0</v>
      </c>
      <c r="F31" s="24">
        <f ca="1">'106 (6)'!F31+'106 (12)'!F31</f>
        <v>0</v>
      </c>
      <c r="G31" s="24">
        <f ca="1">'106 (6)'!G31+'106 (12)'!G31</f>
        <v>0</v>
      </c>
      <c r="H31" s="24">
        <f ca="1">'106 (6)'!H31+'106 (12)'!H31</f>
        <v>0</v>
      </c>
      <c r="I31" s="24">
        <f ca="1">'106 (6)'!I31+'106 (12)'!I31</f>
        <v>0</v>
      </c>
      <c r="J31" s="24">
        <f ca="1">'106 (6)'!J31+'106 (12)'!J31</f>
        <v>0</v>
      </c>
      <c r="K31" s="24">
        <f ca="1">'106 (6)'!K31+'106 (12)'!K31</f>
        <v>0</v>
      </c>
      <c r="L31" s="24">
        <f ca="1">'106 (6)'!L31+'106 (12)'!L31</f>
        <v>0</v>
      </c>
      <c r="M31" s="24">
        <f ca="1">'106 (6)'!M31+'106 (12)'!M31</f>
        <v>0</v>
      </c>
      <c r="N31" s="24">
        <f ca="1">'106 (6)'!N31+'106 (12)'!N31</f>
        <v>0</v>
      </c>
      <c r="O31" s="24">
        <f ca="1">'106 (6)'!O31+'106 (12)'!O31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'106 (6)'!D32+'106 (12)'!D32</f>
        <v>0</v>
      </c>
      <c r="E32" s="24">
        <f ca="1">'106 (6)'!E32+'106 (12)'!E32</f>
        <v>0</v>
      </c>
      <c r="F32" s="24">
        <f ca="1">'106 (6)'!F32+'106 (12)'!F32</f>
        <v>0</v>
      </c>
      <c r="G32" s="24">
        <f ca="1">'106 (6)'!G32+'106 (12)'!G32</f>
        <v>0</v>
      </c>
      <c r="H32" s="24">
        <f ca="1">'106 (6)'!H32+'106 (12)'!H32</f>
        <v>0</v>
      </c>
      <c r="I32" s="24">
        <f ca="1">'106 (6)'!I32+'106 (12)'!I32</f>
        <v>0</v>
      </c>
      <c r="J32" s="24">
        <f ca="1">'106 (6)'!J32+'106 (12)'!J32</f>
        <v>0</v>
      </c>
      <c r="K32" s="24">
        <f ca="1">'106 (6)'!K32+'106 (12)'!K32</f>
        <v>0</v>
      </c>
      <c r="L32" s="24">
        <f ca="1">'106 (6)'!L32+'106 (12)'!L32</f>
        <v>0</v>
      </c>
      <c r="M32" s="24">
        <f ca="1">'106 (6)'!M32+'106 (12)'!M32</f>
        <v>0</v>
      </c>
      <c r="N32" s="24">
        <f ca="1">'106 (6)'!N32+'106 (12)'!N32</f>
        <v>0</v>
      </c>
      <c r="O32" s="24">
        <f ca="1">'106 (6)'!O32+'106 (12)'!O32</f>
        <v>0</v>
      </c>
    </row>
    <row r="33" spans="1:15">
      <c r="A33" s="25"/>
      <c r="B33" s="24"/>
      <c r="C33" s="33">
        <f>Справочник!J1</f>
        <v>2019</v>
      </c>
      <c r="D33" s="24">
        <f ca="1">'106 (6)'!D33+'106 (12)'!D33</f>
        <v>0</v>
      </c>
      <c r="E33" s="24">
        <f ca="1">'106 (6)'!E33+'106 (12)'!E33</f>
        <v>0</v>
      </c>
      <c r="F33" s="24">
        <f ca="1">'106 (6)'!F33+'106 (12)'!F33</f>
        <v>0</v>
      </c>
      <c r="G33" s="24">
        <f ca="1">'106 (6)'!G33+'106 (12)'!G33</f>
        <v>0</v>
      </c>
      <c r="H33" s="24">
        <f ca="1">'106 (6)'!H33+'106 (12)'!H33</f>
        <v>0</v>
      </c>
      <c r="I33" s="24">
        <f ca="1">'106 (6)'!I33+'106 (12)'!I33</f>
        <v>0</v>
      </c>
      <c r="J33" s="24">
        <f ca="1">'106 (6)'!J33+'106 (12)'!J33</f>
        <v>0</v>
      </c>
      <c r="K33" s="24">
        <f ca="1">'106 (6)'!K33+'106 (12)'!K33</f>
        <v>0</v>
      </c>
      <c r="L33" s="24">
        <f ca="1">'106 (6)'!L33+'106 (12)'!L33</f>
        <v>0</v>
      </c>
      <c r="M33" s="24">
        <f ca="1">'106 (6)'!M33+'106 (12)'!M33</f>
        <v>0</v>
      </c>
      <c r="N33" s="24">
        <f ca="1">'106 (6)'!N33+'106 (12)'!N33</f>
        <v>0</v>
      </c>
      <c r="O33" s="24">
        <f ca="1">'106 (6)'!O33+'106 (12)'!O33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'106 (6)'!D34+'106 (12)'!D34</f>
        <v>3</v>
      </c>
      <c r="E34" s="24">
        <f ca="1">'106 (6)'!E34+'106 (12)'!E34</f>
        <v>0</v>
      </c>
      <c r="F34" s="24">
        <f ca="1">'106 (6)'!F34+'106 (12)'!F34</f>
        <v>0</v>
      </c>
      <c r="G34" s="24">
        <f ca="1">'106 (6)'!G34+'106 (12)'!G34</f>
        <v>0</v>
      </c>
      <c r="H34" s="24">
        <f ca="1">'106 (6)'!H34+'106 (12)'!H34</f>
        <v>0</v>
      </c>
      <c r="I34" s="24">
        <f ca="1">'106 (6)'!I34+'106 (12)'!I34</f>
        <v>0</v>
      </c>
      <c r="J34" s="24">
        <f ca="1">'106 (6)'!J34+'106 (12)'!J34</f>
        <v>0</v>
      </c>
      <c r="K34" s="24">
        <f ca="1">'106 (6)'!K34+'106 (12)'!K34</f>
        <v>0</v>
      </c>
      <c r="L34" s="24">
        <f ca="1">'106 (6)'!L34+'106 (12)'!L34</f>
        <v>0</v>
      </c>
      <c r="M34" s="24">
        <f ca="1">'106 (6)'!M34+'106 (12)'!M34</f>
        <v>0</v>
      </c>
      <c r="N34" s="24">
        <f ca="1">'106 (6)'!N34+'106 (12)'!N34</f>
        <v>0</v>
      </c>
      <c r="O34" s="24">
        <f ca="1">'106 (6)'!O34+'106 (12)'!O34</f>
        <v>0</v>
      </c>
    </row>
    <row r="35" spans="1:15">
      <c r="A35" s="27"/>
      <c r="B35" s="24"/>
      <c r="C35" s="33">
        <f>Справочник!J1</f>
        <v>2019</v>
      </c>
      <c r="D35" s="24">
        <f ca="1">'106 (6)'!D35+'106 (12)'!D35</f>
        <v>2</v>
      </c>
      <c r="E35" s="24">
        <f ca="1">'106 (6)'!E35+'106 (12)'!E35</f>
        <v>0</v>
      </c>
      <c r="F35" s="24">
        <f ca="1">'106 (6)'!F35+'106 (12)'!F35</f>
        <v>0</v>
      </c>
      <c r="G35" s="24">
        <f ca="1">'106 (6)'!G35+'106 (12)'!G35</f>
        <v>0</v>
      </c>
      <c r="H35" s="24">
        <f ca="1">'106 (6)'!H35+'106 (12)'!H35</f>
        <v>0</v>
      </c>
      <c r="I35" s="24">
        <f ca="1">'106 (6)'!I35+'106 (12)'!I35</f>
        <v>0</v>
      </c>
      <c r="J35" s="24">
        <f ca="1">'106 (6)'!J35+'106 (12)'!J35</f>
        <v>0</v>
      </c>
      <c r="K35" s="24">
        <f ca="1">'106 (6)'!K35+'106 (12)'!K35</f>
        <v>0</v>
      </c>
      <c r="L35" s="24">
        <f ca="1">'106 (6)'!L35+'106 (12)'!L35</f>
        <v>0</v>
      </c>
      <c r="M35" s="24">
        <f ca="1">'106 (6)'!M35+'106 (12)'!M35</f>
        <v>0</v>
      </c>
      <c r="N35" s="24">
        <f ca="1">'106 (6)'!N35+'106 (12)'!N35</f>
        <v>0</v>
      </c>
      <c r="O35" s="24">
        <f ca="1">'106 (6)'!O35+'106 (12)'!O35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'106 (6)'!D36+'106 (12)'!D36</f>
        <v>111</v>
      </c>
      <c r="E36" s="24">
        <f ca="1">'106 (6)'!E36+'106 (12)'!E36</f>
        <v>0</v>
      </c>
      <c r="F36" s="24">
        <f ca="1">'106 (6)'!F36+'106 (12)'!F36</f>
        <v>0</v>
      </c>
      <c r="G36" s="24">
        <f ca="1">'106 (6)'!G36+'106 (12)'!G36</f>
        <v>0</v>
      </c>
      <c r="H36" s="24">
        <f ca="1">'106 (6)'!H36+'106 (12)'!H36</f>
        <v>0</v>
      </c>
      <c r="I36" s="24">
        <f ca="1">'106 (6)'!I36+'106 (12)'!I36</f>
        <v>0</v>
      </c>
      <c r="J36" s="24">
        <f ca="1">'106 (6)'!J36+'106 (12)'!J36</f>
        <v>0</v>
      </c>
      <c r="K36" s="24">
        <f ca="1">'106 (6)'!K36+'106 (12)'!K36</f>
        <v>0</v>
      </c>
      <c r="L36" s="24">
        <f ca="1">'106 (6)'!L36+'106 (12)'!L36</f>
        <v>0</v>
      </c>
      <c r="M36" s="24">
        <f ca="1">'106 (6)'!M36+'106 (12)'!M36</f>
        <v>0</v>
      </c>
      <c r="N36" s="24">
        <f ca="1">'106 (6)'!N36+'106 (12)'!N36</f>
        <v>0</v>
      </c>
      <c r="O36" s="24">
        <f ca="1">'106 (6)'!O36+'106 (12)'!O36</f>
        <v>0</v>
      </c>
    </row>
    <row r="37" spans="1:15">
      <c r="A37" s="25"/>
      <c r="B37" s="24"/>
      <c r="C37" s="33">
        <f>Справочник!J1</f>
        <v>2019</v>
      </c>
      <c r="D37" s="24">
        <f ca="1">'106 (6)'!D37+'106 (12)'!D37</f>
        <v>107</v>
      </c>
      <c r="E37" s="24">
        <f ca="1">'106 (6)'!E37+'106 (12)'!E37</f>
        <v>0</v>
      </c>
      <c r="F37" s="24">
        <f ca="1">'106 (6)'!F37+'106 (12)'!F37</f>
        <v>0</v>
      </c>
      <c r="G37" s="24">
        <f ca="1">'106 (6)'!G37+'106 (12)'!G37</f>
        <v>0</v>
      </c>
      <c r="H37" s="24">
        <f ca="1">'106 (6)'!H37+'106 (12)'!H37</f>
        <v>0</v>
      </c>
      <c r="I37" s="24">
        <f ca="1">'106 (6)'!I37+'106 (12)'!I37</f>
        <v>0</v>
      </c>
      <c r="J37" s="24">
        <f ca="1">'106 (6)'!J37+'106 (12)'!J37</f>
        <v>0</v>
      </c>
      <c r="K37" s="24">
        <f ca="1">'106 (6)'!K37+'106 (12)'!K37</f>
        <v>0</v>
      </c>
      <c r="L37" s="24">
        <f ca="1">'106 (6)'!L37+'106 (12)'!L37</f>
        <v>0</v>
      </c>
      <c r="M37" s="24">
        <f ca="1">'106 (6)'!M37+'106 (12)'!M37</f>
        <v>0</v>
      </c>
      <c r="N37" s="24">
        <f ca="1">'106 (6)'!N37+'106 (12)'!N37</f>
        <v>0</v>
      </c>
      <c r="O37" s="24">
        <f ca="1">'106 (6)'!O37+'106 (12)'!O37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'106 (6)'!D38+'106 (12)'!D38</f>
        <v>3</v>
      </c>
      <c r="E38" s="24">
        <f ca="1">'106 (6)'!E38+'106 (12)'!E38</f>
        <v>0</v>
      </c>
      <c r="F38" s="24">
        <f ca="1">'106 (6)'!F38+'106 (12)'!F38</f>
        <v>0</v>
      </c>
      <c r="G38" s="24">
        <f ca="1">'106 (6)'!G38+'106 (12)'!G38</f>
        <v>0</v>
      </c>
      <c r="H38" s="24">
        <f ca="1">'106 (6)'!H38+'106 (12)'!H38</f>
        <v>0</v>
      </c>
      <c r="I38" s="24">
        <f ca="1">'106 (6)'!I38+'106 (12)'!I38</f>
        <v>0</v>
      </c>
      <c r="J38" s="24">
        <f ca="1">'106 (6)'!J38+'106 (12)'!J38</f>
        <v>0</v>
      </c>
      <c r="K38" s="24">
        <f ca="1">'106 (6)'!K38+'106 (12)'!K38</f>
        <v>0</v>
      </c>
      <c r="L38" s="24">
        <f ca="1">'106 (6)'!L38+'106 (12)'!L38</f>
        <v>0</v>
      </c>
      <c r="M38" s="24">
        <f ca="1">'106 (6)'!M38+'106 (12)'!M38</f>
        <v>0</v>
      </c>
      <c r="N38" s="24">
        <f ca="1">'106 (6)'!N38+'106 (12)'!N38</f>
        <v>0</v>
      </c>
      <c r="O38" s="24">
        <f ca="1">'106 (6)'!O38+'106 (12)'!O38</f>
        <v>0</v>
      </c>
    </row>
    <row r="39" spans="1:15">
      <c r="A39" s="25"/>
      <c r="B39" s="24"/>
      <c r="C39" s="33">
        <f>Справочник!J1</f>
        <v>2019</v>
      </c>
      <c r="D39" s="24">
        <f ca="1">'106 (6)'!D39+'106 (12)'!D39</f>
        <v>9</v>
      </c>
      <c r="E39" s="24">
        <f ca="1">'106 (6)'!E39+'106 (12)'!E39</f>
        <v>0</v>
      </c>
      <c r="F39" s="24">
        <f ca="1">'106 (6)'!F39+'106 (12)'!F39</f>
        <v>0</v>
      </c>
      <c r="G39" s="24">
        <f ca="1">'106 (6)'!G39+'106 (12)'!G39</f>
        <v>0</v>
      </c>
      <c r="H39" s="24">
        <f ca="1">'106 (6)'!H39+'106 (12)'!H39</f>
        <v>0</v>
      </c>
      <c r="I39" s="24">
        <f ca="1">'106 (6)'!I39+'106 (12)'!I39</f>
        <v>0</v>
      </c>
      <c r="J39" s="24">
        <f ca="1">'106 (6)'!J39+'106 (12)'!J39</f>
        <v>0</v>
      </c>
      <c r="K39" s="24">
        <f ca="1">'106 (6)'!K39+'106 (12)'!K39</f>
        <v>0</v>
      </c>
      <c r="L39" s="24">
        <f ca="1">'106 (6)'!L39+'106 (12)'!L39</f>
        <v>0</v>
      </c>
      <c r="M39" s="24">
        <f ca="1">'106 (6)'!M39+'106 (12)'!M39</f>
        <v>0</v>
      </c>
      <c r="N39" s="24">
        <f ca="1">'106 (6)'!N39+'106 (12)'!N39</f>
        <v>0</v>
      </c>
      <c r="O39" s="24">
        <f ca="1">'106 (6)'!O39+'106 (12)'!O39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'106 (6)'!D40+'106 (12)'!D40</f>
        <v>35</v>
      </c>
      <c r="E40" s="24">
        <f ca="1">'106 (6)'!E40+'106 (12)'!E40</f>
        <v>0</v>
      </c>
      <c r="F40" s="24">
        <f ca="1">'106 (6)'!F40+'106 (12)'!F40</f>
        <v>0</v>
      </c>
      <c r="G40" s="24">
        <f ca="1">'106 (6)'!G40+'106 (12)'!G40</f>
        <v>0</v>
      </c>
      <c r="H40" s="24">
        <f ca="1">'106 (6)'!H40+'106 (12)'!H40</f>
        <v>0</v>
      </c>
      <c r="I40" s="24">
        <f ca="1">'106 (6)'!I40+'106 (12)'!I40</f>
        <v>0</v>
      </c>
      <c r="J40" s="24">
        <f ca="1">'106 (6)'!J40+'106 (12)'!J40</f>
        <v>0</v>
      </c>
      <c r="K40" s="24">
        <f ca="1">'106 (6)'!K40+'106 (12)'!K40</f>
        <v>0</v>
      </c>
      <c r="L40" s="24">
        <f ca="1">'106 (6)'!L40+'106 (12)'!L40</f>
        <v>0</v>
      </c>
      <c r="M40" s="24">
        <f ca="1">'106 (6)'!M40+'106 (12)'!M40</f>
        <v>0</v>
      </c>
      <c r="N40" s="24">
        <f ca="1">'106 (6)'!N40+'106 (12)'!N40</f>
        <v>0</v>
      </c>
      <c r="O40" s="24">
        <f ca="1">'106 (6)'!O40+'106 (12)'!O40</f>
        <v>0</v>
      </c>
    </row>
    <row r="41" spans="1:15">
      <c r="A41" s="25"/>
      <c r="B41" s="24"/>
      <c r="C41" s="33">
        <f>Справочник!J1</f>
        <v>2019</v>
      </c>
      <c r="D41" s="24">
        <f ca="1">'106 (6)'!D41+'106 (12)'!D41</f>
        <v>29</v>
      </c>
      <c r="E41" s="24">
        <f ca="1">'106 (6)'!E41+'106 (12)'!E41</f>
        <v>0</v>
      </c>
      <c r="F41" s="24">
        <f ca="1">'106 (6)'!F41+'106 (12)'!F41</f>
        <v>0</v>
      </c>
      <c r="G41" s="24">
        <f ca="1">'106 (6)'!G41+'106 (12)'!G41</f>
        <v>0</v>
      </c>
      <c r="H41" s="24">
        <f ca="1">'106 (6)'!H41+'106 (12)'!H41</f>
        <v>0</v>
      </c>
      <c r="I41" s="24">
        <f ca="1">'106 (6)'!I41+'106 (12)'!I41</f>
        <v>0</v>
      </c>
      <c r="J41" s="24">
        <f ca="1">'106 (6)'!J41+'106 (12)'!J41</f>
        <v>0</v>
      </c>
      <c r="K41" s="24">
        <f ca="1">'106 (6)'!K41+'106 (12)'!K41</f>
        <v>0</v>
      </c>
      <c r="L41" s="24">
        <f ca="1">'106 (6)'!L41+'106 (12)'!L41</f>
        <v>0</v>
      </c>
      <c r="M41" s="24">
        <f ca="1">'106 (6)'!M41+'106 (12)'!M41</f>
        <v>0</v>
      </c>
      <c r="N41" s="24">
        <f ca="1">'106 (6)'!N41+'106 (12)'!N41</f>
        <v>0</v>
      </c>
      <c r="O41" s="24">
        <f ca="1">'106 (6)'!O41+'106 (12)'!O41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'106 (6)'!D42+'106 (12)'!D42</f>
        <v>72</v>
      </c>
      <c r="E42" s="24">
        <f ca="1">'106 (6)'!E42+'106 (12)'!E42</f>
        <v>0</v>
      </c>
      <c r="F42" s="24">
        <f ca="1">'106 (6)'!F42+'106 (12)'!F42</f>
        <v>0</v>
      </c>
      <c r="G42" s="24">
        <f ca="1">'106 (6)'!G42+'106 (12)'!G42</f>
        <v>0</v>
      </c>
      <c r="H42" s="24">
        <f ca="1">'106 (6)'!H42+'106 (12)'!H42</f>
        <v>0</v>
      </c>
      <c r="I42" s="24">
        <f ca="1">'106 (6)'!I42+'106 (12)'!I42</f>
        <v>0</v>
      </c>
      <c r="J42" s="24">
        <f ca="1">'106 (6)'!J42+'106 (12)'!J42</f>
        <v>0</v>
      </c>
      <c r="K42" s="24">
        <f ca="1">'106 (6)'!K42+'106 (12)'!K42</f>
        <v>0</v>
      </c>
      <c r="L42" s="24">
        <f ca="1">'106 (6)'!L42+'106 (12)'!L42</f>
        <v>0</v>
      </c>
      <c r="M42" s="24">
        <f ca="1">'106 (6)'!M42+'106 (12)'!M42</f>
        <v>0</v>
      </c>
      <c r="N42" s="24">
        <f ca="1">'106 (6)'!N42+'106 (12)'!N42</f>
        <v>0</v>
      </c>
      <c r="O42" s="24">
        <f ca="1">'106 (6)'!O42+'106 (12)'!O42</f>
        <v>0</v>
      </c>
    </row>
    <row r="43" spans="1:15">
      <c r="A43" s="25"/>
      <c r="B43" s="24"/>
      <c r="C43" s="33">
        <f>Справочник!J1</f>
        <v>2019</v>
      </c>
      <c r="D43" s="24">
        <f ca="1">'106 (6)'!D43+'106 (12)'!D43</f>
        <v>80</v>
      </c>
      <c r="E43" s="24">
        <f ca="1">'106 (6)'!E43+'106 (12)'!E43</f>
        <v>0</v>
      </c>
      <c r="F43" s="24">
        <f ca="1">'106 (6)'!F43+'106 (12)'!F43</f>
        <v>0</v>
      </c>
      <c r="G43" s="24">
        <f ca="1">'106 (6)'!G43+'106 (12)'!G43</f>
        <v>0</v>
      </c>
      <c r="H43" s="24">
        <f ca="1">'106 (6)'!H43+'106 (12)'!H43</f>
        <v>0</v>
      </c>
      <c r="I43" s="24">
        <f ca="1">'106 (6)'!I43+'106 (12)'!I43</f>
        <v>0</v>
      </c>
      <c r="J43" s="24">
        <f ca="1">'106 (6)'!J43+'106 (12)'!J43</f>
        <v>0</v>
      </c>
      <c r="K43" s="24">
        <f ca="1">'106 (6)'!K43+'106 (12)'!K43</f>
        <v>0</v>
      </c>
      <c r="L43" s="24">
        <f ca="1">'106 (6)'!L43+'106 (12)'!L43</f>
        <v>0</v>
      </c>
      <c r="M43" s="24">
        <f ca="1">'106 (6)'!M43+'106 (12)'!M43</f>
        <v>0</v>
      </c>
      <c r="N43" s="24">
        <f ca="1">'106 (6)'!N43+'106 (12)'!N43</f>
        <v>0</v>
      </c>
      <c r="O43" s="24">
        <f ca="1">'106 (6)'!O43+'106 (12)'!O43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'106 (6)'!D44+'106 (12)'!D44</f>
        <v>7</v>
      </c>
      <c r="E44" s="24">
        <f ca="1">'106 (6)'!E44+'106 (12)'!E44</f>
        <v>0</v>
      </c>
      <c r="F44" s="24">
        <f ca="1">'106 (6)'!F44+'106 (12)'!F44</f>
        <v>0</v>
      </c>
      <c r="G44" s="24">
        <f ca="1">'106 (6)'!G44+'106 (12)'!G44</f>
        <v>0</v>
      </c>
      <c r="H44" s="24">
        <f ca="1">'106 (6)'!H44+'106 (12)'!H44</f>
        <v>0</v>
      </c>
      <c r="I44" s="24">
        <f ca="1">'106 (6)'!I44+'106 (12)'!I44</f>
        <v>0</v>
      </c>
      <c r="J44" s="24">
        <f ca="1">'106 (6)'!J44+'106 (12)'!J44</f>
        <v>0</v>
      </c>
      <c r="K44" s="24">
        <f ca="1">'106 (6)'!K44+'106 (12)'!K44</f>
        <v>0</v>
      </c>
      <c r="L44" s="24">
        <f ca="1">'106 (6)'!L44+'106 (12)'!L44</f>
        <v>0</v>
      </c>
      <c r="M44" s="24">
        <f ca="1">'106 (6)'!M44+'106 (12)'!M44</f>
        <v>0</v>
      </c>
      <c r="N44" s="24">
        <f ca="1">'106 (6)'!N44+'106 (12)'!N44</f>
        <v>0</v>
      </c>
      <c r="O44" s="24">
        <f ca="1">'106 (6)'!O44+'106 (12)'!O44</f>
        <v>0</v>
      </c>
    </row>
    <row r="45" spans="1:15">
      <c r="A45" s="25"/>
      <c r="B45" s="24"/>
      <c r="C45" s="33">
        <f>Справочник!J1</f>
        <v>2019</v>
      </c>
      <c r="D45" s="24">
        <f ca="1">'106 (6)'!D45+'106 (12)'!D45</f>
        <v>10</v>
      </c>
      <c r="E45" s="24">
        <f ca="1">'106 (6)'!E45+'106 (12)'!E45</f>
        <v>0</v>
      </c>
      <c r="F45" s="24">
        <f ca="1">'106 (6)'!F45+'106 (12)'!F45</f>
        <v>0</v>
      </c>
      <c r="G45" s="24">
        <f ca="1">'106 (6)'!G45+'106 (12)'!G45</f>
        <v>0</v>
      </c>
      <c r="H45" s="24">
        <f ca="1">'106 (6)'!H45+'106 (12)'!H45</f>
        <v>0</v>
      </c>
      <c r="I45" s="24">
        <f ca="1">'106 (6)'!I45+'106 (12)'!I45</f>
        <v>0</v>
      </c>
      <c r="J45" s="24">
        <f ca="1">'106 (6)'!J45+'106 (12)'!J45</f>
        <v>0</v>
      </c>
      <c r="K45" s="24">
        <f ca="1">'106 (6)'!K45+'106 (12)'!K45</f>
        <v>0</v>
      </c>
      <c r="L45" s="24">
        <f ca="1">'106 (6)'!L45+'106 (12)'!L45</f>
        <v>0</v>
      </c>
      <c r="M45" s="24">
        <f ca="1">'106 (6)'!M45+'106 (12)'!M45</f>
        <v>0</v>
      </c>
      <c r="N45" s="24">
        <f ca="1">'106 (6)'!N45+'106 (12)'!N45</f>
        <v>0</v>
      </c>
      <c r="O45" s="24">
        <f ca="1">'106 (6)'!O45+'106 (12)'!O45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'106 (6)'!D46+'106 (12)'!D46</f>
        <v>5</v>
      </c>
      <c r="E46" s="24">
        <f ca="1">'106 (6)'!E46+'106 (12)'!E46</f>
        <v>0</v>
      </c>
      <c r="F46" s="24">
        <f ca="1">'106 (6)'!F46+'106 (12)'!F46</f>
        <v>0</v>
      </c>
      <c r="G46" s="24">
        <f ca="1">'106 (6)'!G46+'106 (12)'!G46</f>
        <v>0</v>
      </c>
      <c r="H46" s="24">
        <f ca="1">'106 (6)'!H46+'106 (12)'!H46</f>
        <v>0</v>
      </c>
      <c r="I46" s="24">
        <f ca="1">'106 (6)'!I46+'106 (12)'!I46</f>
        <v>0</v>
      </c>
      <c r="J46" s="24">
        <f ca="1">'106 (6)'!J46+'106 (12)'!J46</f>
        <v>0</v>
      </c>
      <c r="K46" s="24">
        <f ca="1">'106 (6)'!K46+'106 (12)'!K46</f>
        <v>0</v>
      </c>
      <c r="L46" s="24">
        <f ca="1">'106 (6)'!L46+'106 (12)'!L46</f>
        <v>0</v>
      </c>
      <c r="M46" s="24">
        <f ca="1">'106 (6)'!M46+'106 (12)'!M46</f>
        <v>0</v>
      </c>
      <c r="N46" s="24">
        <f ca="1">'106 (6)'!N46+'106 (12)'!N46</f>
        <v>0</v>
      </c>
      <c r="O46" s="24">
        <f ca="1">'106 (6)'!O46+'106 (12)'!O46</f>
        <v>0</v>
      </c>
    </row>
    <row r="47" spans="1:15">
      <c r="A47" s="25"/>
      <c r="B47" s="24"/>
      <c r="C47" s="33">
        <f>Справочник!J1</f>
        <v>2019</v>
      </c>
      <c r="D47" s="24">
        <f ca="1">'106 (6)'!D47+'106 (12)'!D47</f>
        <v>1</v>
      </c>
      <c r="E47" s="24">
        <f ca="1">'106 (6)'!E47+'106 (12)'!E47</f>
        <v>0</v>
      </c>
      <c r="F47" s="24">
        <f ca="1">'106 (6)'!F47+'106 (12)'!F47</f>
        <v>0</v>
      </c>
      <c r="G47" s="24">
        <f ca="1">'106 (6)'!G47+'106 (12)'!G47</f>
        <v>0</v>
      </c>
      <c r="H47" s="24">
        <f ca="1">'106 (6)'!H47+'106 (12)'!H47</f>
        <v>0</v>
      </c>
      <c r="I47" s="24">
        <f ca="1">'106 (6)'!I47+'106 (12)'!I47</f>
        <v>0</v>
      </c>
      <c r="J47" s="24">
        <f ca="1">'106 (6)'!J47+'106 (12)'!J47</f>
        <v>0</v>
      </c>
      <c r="K47" s="24">
        <f ca="1">'106 (6)'!K47+'106 (12)'!K47</f>
        <v>0</v>
      </c>
      <c r="L47" s="24">
        <f ca="1">'106 (6)'!L47+'106 (12)'!L47</f>
        <v>0</v>
      </c>
      <c r="M47" s="24">
        <f ca="1">'106 (6)'!M47+'106 (12)'!M47</f>
        <v>0</v>
      </c>
      <c r="N47" s="24">
        <f ca="1">'106 (6)'!N47+'106 (12)'!N47</f>
        <v>0</v>
      </c>
      <c r="O47" s="24">
        <f ca="1">'106 (6)'!O47+'106 (12)'!O47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'106 (6)'!D48+'106 (12)'!D48</f>
        <v>53</v>
      </c>
      <c r="E48" s="24">
        <f ca="1">'106 (6)'!E48+'106 (12)'!E48</f>
        <v>0</v>
      </c>
      <c r="F48" s="24">
        <f ca="1">'106 (6)'!F48+'106 (12)'!F48</f>
        <v>0</v>
      </c>
      <c r="G48" s="24">
        <f ca="1">'106 (6)'!G48+'106 (12)'!G48</f>
        <v>0</v>
      </c>
      <c r="H48" s="24">
        <f ca="1">'106 (6)'!H48+'106 (12)'!H48</f>
        <v>0</v>
      </c>
      <c r="I48" s="24">
        <f ca="1">'106 (6)'!I48+'106 (12)'!I48</f>
        <v>0</v>
      </c>
      <c r="J48" s="24">
        <f ca="1">'106 (6)'!J48+'106 (12)'!J48</f>
        <v>0</v>
      </c>
      <c r="K48" s="24">
        <f ca="1">'106 (6)'!K48+'106 (12)'!K48</f>
        <v>0</v>
      </c>
      <c r="L48" s="24">
        <f ca="1">'106 (6)'!L48+'106 (12)'!L48</f>
        <v>0</v>
      </c>
      <c r="M48" s="24">
        <f ca="1">'106 (6)'!M48+'106 (12)'!M48</f>
        <v>0</v>
      </c>
      <c r="N48" s="24">
        <f ca="1">'106 (6)'!N48+'106 (12)'!N48</f>
        <v>0</v>
      </c>
      <c r="O48" s="24">
        <f ca="1">'106 (6)'!O48+'106 (12)'!O48</f>
        <v>0</v>
      </c>
    </row>
    <row r="49" spans="1:15">
      <c r="A49" s="27"/>
      <c r="B49" s="24"/>
      <c r="C49" s="33">
        <f>Справочник!J1</f>
        <v>2019</v>
      </c>
      <c r="D49" s="24">
        <f ca="1">'106 (6)'!D49+'106 (12)'!D49</f>
        <v>68</v>
      </c>
      <c r="E49" s="24">
        <f ca="1">'106 (6)'!E49+'106 (12)'!E49</f>
        <v>0</v>
      </c>
      <c r="F49" s="24">
        <f ca="1">'106 (6)'!F49+'106 (12)'!F49</f>
        <v>0</v>
      </c>
      <c r="G49" s="24">
        <f ca="1">'106 (6)'!G49+'106 (12)'!G49</f>
        <v>0</v>
      </c>
      <c r="H49" s="24">
        <f ca="1">'106 (6)'!H49+'106 (12)'!H49</f>
        <v>0</v>
      </c>
      <c r="I49" s="24">
        <f ca="1">'106 (6)'!I49+'106 (12)'!I49</f>
        <v>0</v>
      </c>
      <c r="J49" s="24">
        <f ca="1">'106 (6)'!J49+'106 (12)'!J49</f>
        <v>0</v>
      </c>
      <c r="K49" s="24">
        <f ca="1">'106 (6)'!K49+'106 (12)'!K49</f>
        <v>0</v>
      </c>
      <c r="L49" s="24">
        <f ca="1">'106 (6)'!L49+'106 (12)'!L49</f>
        <v>0</v>
      </c>
      <c r="M49" s="24">
        <f ca="1">'106 (6)'!M49+'106 (12)'!M49</f>
        <v>0</v>
      </c>
      <c r="N49" s="24">
        <f ca="1">'106 (6)'!N49+'106 (12)'!N49</f>
        <v>0</v>
      </c>
      <c r="O49" s="24">
        <f ca="1">'106 (6)'!O49+'106 (12)'!O49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'106 (6)'!D50+'106 (12)'!D50</f>
        <v>107</v>
      </c>
      <c r="E50" s="24">
        <f ca="1">'106 (6)'!E50+'106 (12)'!E50</f>
        <v>0</v>
      </c>
      <c r="F50" s="24">
        <f ca="1">'106 (6)'!F50+'106 (12)'!F50</f>
        <v>0</v>
      </c>
      <c r="G50" s="24">
        <f ca="1">'106 (6)'!G50+'106 (12)'!G50</f>
        <v>0</v>
      </c>
      <c r="H50" s="24">
        <f ca="1">'106 (6)'!H50+'106 (12)'!H50</f>
        <v>0</v>
      </c>
      <c r="I50" s="24">
        <f ca="1">'106 (6)'!I50+'106 (12)'!I50</f>
        <v>0</v>
      </c>
      <c r="J50" s="24">
        <f ca="1">'106 (6)'!J50+'106 (12)'!J50</f>
        <v>0</v>
      </c>
      <c r="K50" s="24">
        <f ca="1">'106 (6)'!K50+'106 (12)'!K50</f>
        <v>0</v>
      </c>
      <c r="L50" s="24">
        <f ca="1">'106 (6)'!L50+'106 (12)'!L50</f>
        <v>0</v>
      </c>
      <c r="M50" s="24">
        <f ca="1">'106 (6)'!M50+'106 (12)'!M50</f>
        <v>0</v>
      </c>
      <c r="N50" s="24">
        <f ca="1">'106 (6)'!N50+'106 (12)'!N50</f>
        <v>0</v>
      </c>
      <c r="O50" s="24">
        <f ca="1">'106 (6)'!O50+'106 (12)'!O50</f>
        <v>0</v>
      </c>
    </row>
    <row r="51" spans="1:15">
      <c r="A51" s="27"/>
      <c r="B51" s="24"/>
      <c r="C51" s="33">
        <f>Справочник!J1</f>
        <v>2019</v>
      </c>
      <c r="D51" s="24">
        <f ca="1">'106 (6)'!D51+'106 (12)'!D51</f>
        <v>82</v>
      </c>
      <c r="E51" s="24">
        <f ca="1">'106 (6)'!E51+'106 (12)'!E51</f>
        <v>0</v>
      </c>
      <c r="F51" s="24">
        <f ca="1">'106 (6)'!F51+'106 (12)'!F51</f>
        <v>0</v>
      </c>
      <c r="G51" s="24">
        <f ca="1">'106 (6)'!G51+'106 (12)'!G51</f>
        <v>0</v>
      </c>
      <c r="H51" s="24">
        <f ca="1">'106 (6)'!H51+'106 (12)'!H51</f>
        <v>0</v>
      </c>
      <c r="I51" s="24">
        <f ca="1">'106 (6)'!I51+'106 (12)'!I51</f>
        <v>0</v>
      </c>
      <c r="J51" s="24">
        <f ca="1">'106 (6)'!J51+'106 (12)'!J51</f>
        <v>0</v>
      </c>
      <c r="K51" s="24">
        <f ca="1">'106 (6)'!K51+'106 (12)'!K51</f>
        <v>0</v>
      </c>
      <c r="L51" s="24">
        <f ca="1">'106 (6)'!L51+'106 (12)'!L51</f>
        <v>0</v>
      </c>
      <c r="M51" s="24">
        <f ca="1">'106 (6)'!M51+'106 (12)'!M51</f>
        <v>0</v>
      </c>
      <c r="N51" s="24">
        <f ca="1">'106 (6)'!N51+'106 (12)'!N51</f>
        <v>0</v>
      </c>
      <c r="O51" s="24">
        <f ca="1">'106 (6)'!O51+'106 (12)'!O51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'106 (6)'!D52+'106 (12)'!D52</f>
        <v>68</v>
      </c>
      <c r="E52" s="24">
        <f ca="1">'106 (6)'!E52+'106 (12)'!E52</f>
        <v>0</v>
      </c>
      <c r="F52" s="24">
        <f ca="1">'106 (6)'!F52+'106 (12)'!F52</f>
        <v>0</v>
      </c>
      <c r="G52" s="24">
        <f ca="1">'106 (6)'!G52+'106 (12)'!G52</f>
        <v>0</v>
      </c>
      <c r="H52" s="24">
        <f ca="1">'106 (6)'!H52+'106 (12)'!H52</f>
        <v>0</v>
      </c>
      <c r="I52" s="24">
        <f ca="1">'106 (6)'!I52+'106 (12)'!I52</f>
        <v>0</v>
      </c>
      <c r="J52" s="24">
        <f ca="1">'106 (6)'!J52+'106 (12)'!J52</f>
        <v>0</v>
      </c>
      <c r="K52" s="24">
        <f ca="1">'106 (6)'!K52+'106 (12)'!K52</f>
        <v>0</v>
      </c>
      <c r="L52" s="24">
        <f ca="1">'106 (6)'!L52+'106 (12)'!L52</f>
        <v>0</v>
      </c>
      <c r="M52" s="24">
        <f ca="1">'106 (6)'!M52+'106 (12)'!M52</f>
        <v>0</v>
      </c>
      <c r="N52" s="24">
        <f ca="1">'106 (6)'!N52+'106 (12)'!N52</f>
        <v>0</v>
      </c>
      <c r="O52" s="24">
        <f ca="1">'106 (6)'!O52+'106 (12)'!O52</f>
        <v>0</v>
      </c>
    </row>
    <row r="53" spans="1:15">
      <c r="A53" s="27"/>
      <c r="B53" s="24"/>
      <c r="C53" s="33">
        <f>Справочник!J1</f>
        <v>2019</v>
      </c>
      <c r="D53" s="24">
        <f ca="1">'106 (6)'!D53+'106 (12)'!D53</f>
        <v>61</v>
      </c>
      <c r="E53" s="24">
        <f ca="1">'106 (6)'!E53+'106 (12)'!E53</f>
        <v>0</v>
      </c>
      <c r="F53" s="24">
        <f ca="1">'106 (6)'!F53+'106 (12)'!F53</f>
        <v>0</v>
      </c>
      <c r="G53" s="24">
        <f ca="1">'106 (6)'!G53+'106 (12)'!G53</f>
        <v>0</v>
      </c>
      <c r="H53" s="24">
        <f ca="1">'106 (6)'!H53+'106 (12)'!H53</f>
        <v>0</v>
      </c>
      <c r="I53" s="24">
        <f ca="1">'106 (6)'!I53+'106 (12)'!I53</f>
        <v>0</v>
      </c>
      <c r="J53" s="24">
        <f ca="1">'106 (6)'!J53+'106 (12)'!J53</f>
        <v>0</v>
      </c>
      <c r="K53" s="24">
        <f ca="1">'106 (6)'!K53+'106 (12)'!K53</f>
        <v>0</v>
      </c>
      <c r="L53" s="24">
        <f ca="1">'106 (6)'!L53+'106 (12)'!L53</f>
        <v>0</v>
      </c>
      <c r="M53" s="24">
        <f ca="1">'106 (6)'!M53+'106 (12)'!M53</f>
        <v>0</v>
      </c>
      <c r="N53" s="24">
        <f ca="1">'106 (6)'!N53+'106 (12)'!N53</f>
        <v>0</v>
      </c>
      <c r="O53" s="24">
        <f ca="1">'106 (6)'!O53+'106 (12)'!O53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'106 (6)'!D54+'106 (12)'!D54</f>
        <v>0</v>
      </c>
      <c r="E54" s="24">
        <f ca="1">'106 (6)'!E54+'106 (12)'!E54</f>
        <v>0</v>
      </c>
      <c r="F54" s="24">
        <f ca="1">'106 (6)'!F54+'106 (12)'!F54</f>
        <v>0</v>
      </c>
      <c r="G54" s="24">
        <f ca="1">'106 (6)'!G54+'106 (12)'!G54</f>
        <v>0</v>
      </c>
      <c r="H54" s="24">
        <f ca="1">'106 (6)'!H54+'106 (12)'!H54</f>
        <v>0</v>
      </c>
      <c r="I54" s="24">
        <f ca="1">'106 (6)'!I54+'106 (12)'!I54</f>
        <v>0</v>
      </c>
      <c r="J54" s="24">
        <f ca="1">'106 (6)'!J54+'106 (12)'!J54</f>
        <v>0</v>
      </c>
      <c r="K54" s="24">
        <f ca="1">'106 (6)'!K54+'106 (12)'!K54</f>
        <v>0</v>
      </c>
      <c r="L54" s="24">
        <f ca="1">'106 (6)'!L54+'106 (12)'!L54</f>
        <v>0</v>
      </c>
      <c r="M54" s="24">
        <f ca="1">'106 (6)'!M54+'106 (12)'!M54</f>
        <v>0</v>
      </c>
      <c r="N54" s="24">
        <f ca="1">'106 (6)'!N54+'106 (12)'!N54</f>
        <v>0</v>
      </c>
      <c r="O54" s="24">
        <f ca="1">'106 (6)'!O54+'106 (12)'!O54</f>
        <v>0</v>
      </c>
    </row>
    <row r="55" spans="1:15">
      <c r="A55" s="27"/>
      <c r="B55" s="24"/>
      <c r="C55" s="33">
        <f>Справочник!J1</f>
        <v>2019</v>
      </c>
      <c r="D55" s="24">
        <f ca="1">'106 (6)'!D55+'106 (12)'!D55</f>
        <v>0</v>
      </c>
      <c r="E55" s="24">
        <f ca="1">'106 (6)'!E55+'106 (12)'!E55</f>
        <v>0</v>
      </c>
      <c r="F55" s="24">
        <f ca="1">'106 (6)'!F55+'106 (12)'!F55</f>
        <v>0</v>
      </c>
      <c r="G55" s="24">
        <f ca="1">'106 (6)'!G55+'106 (12)'!G55</f>
        <v>0</v>
      </c>
      <c r="H55" s="24">
        <f ca="1">'106 (6)'!H55+'106 (12)'!H55</f>
        <v>0</v>
      </c>
      <c r="I55" s="24">
        <f ca="1">'106 (6)'!I55+'106 (12)'!I55</f>
        <v>0</v>
      </c>
      <c r="J55" s="24">
        <f ca="1">'106 (6)'!J55+'106 (12)'!J55</f>
        <v>0</v>
      </c>
      <c r="K55" s="24">
        <f ca="1">'106 (6)'!K55+'106 (12)'!K55</f>
        <v>0</v>
      </c>
      <c r="L55" s="24">
        <f ca="1">'106 (6)'!L55+'106 (12)'!L55</f>
        <v>0</v>
      </c>
      <c r="M55" s="24">
        <f ca="1">'106 (6)'!M55+'106 (12)'!M55</f>
        <v>0</v>
      </c>
      <c r="N55" s="24">
        <f ca="1">'106 (6)'!N55+'106 (12)'!N55</f>
        <v>0</v>
      </c>
      <c r="O55" s="24">
        <f ca="1">'106 (6)'!O55+'106 (12)'!O55</f>
        <v>0</v>
      </c>
    </row>
    <row r="56" spans="1:15">
      <c r="A56" s="25" t="s">
        <v>365</v>
      </c>
      <c r="C56" s="23">
        <f>Справочник!J2</f>
        <v>2018</v>
      </c>
      <c r="D56" s="24">
        <f ca="1">'106 (6)'!D56+'106 (12)'!D56</f>
        <v>36</v>
      </c>
      <c r="E56" s="24">
        <f ca="1">'106 (6)'!E56+'106 (12)'!E56</f>
        <v>0</v>
      </c>
      <c r="F56" s="24">
        <f ca="1">'106 (6)'!F56+'106 (12)'!F56</f>
        <v>0</v>
      </c>
      <c r="G56" s="24">
        <f ca="1">'106 (6)'!G56+'106 (12)'!G56</f>
        <v>0</v>
      </c>
      <c r="H56" s="24">
        <f ca="1">'106 (6)'!H56+'106 (12)'!H56</f>
        <v>0</v>
      </c>
      <c r="I56" s="24">
        <f ca="1">'106 (6)'!I56+'106 (12)'!I56</f>
        <v>0</v>
      </c>
      <c r="J56" s="24">
        <f ca="1">'106 (6)'!J56+'106 (12)'!J56</f>
        <v>0</v>
      </c>
      <c r="K56" s="24">
        <f ca="1">'106 (6)'!K56+'106 (12)'!K56</f>
        <v>0</v>
      </c>
      <c r="L56" s="24">
        <f ca="1">'106 (6)'!L56+'106 (12)'!L56</f>
        <v>0</v>
      </c>
      <c r="M56" s="24">
        <f ca="1">'106 (6)'!M56+'106 (12)'!M56</f>
        <v>0</v>
      </c>
      <c r="N56" s="24">
        <f ca="1">'106 (6)'!N56+'106 (12)'!N56</f>
        <v>0</v>
      </c>
      <c r="O56" s="24">
        <f ca="1">'106 (6)'!O56+'106 (12)'!O56</f>
        <v>0</v>
      </c>
    </row>
    <row r="57" spans="1:15">
      <c r="A57" s="27"/>
      <c r="B57" s="24" t="s">
        <v>119</v>
      </c>
      <c r="C57" s="33">
        <f>Справочник!J1</f>
        <v>2019</v>
      </c>
      <c r="D57" s="24">
        <f ca="1">'106 (6)'!D57+'106 (12)'!D57</f>
        <v>21</v>
      </c>
      <c r="E57" s="24">
        <f ca="1">'106 (6)'!E57+'106 (12)'!E57</f>
        <v>0</v>
      </c>
      <c r="F57" s="24">
        <f ca="1">'106 (6)'!F57+'106 (12)'!F57</f>
        <v>0</v>
      </c>
      <c r="G57" s="24">
        <f ca="1">'106 (6)'!G57+'106 (12)'!G57</f>
        <v>0</v>
      </c>
      <c r="H57" s="24">
        <f ca="1">'106 (6)'!H57+'106 (12)'!H57</f>
        <v>0</v>
      </c>
      <c r="I57" s="24">
        <f ca="1">'106 (6)'!I57+'106 (12)'!I57</f>
        <v>0</v>
      </c>
      <c r="J57" s="24">
        <f ca="1">'106 (6)'!J57+'106 (12)'!J57</f>
        <v>0</v>
      </c>
      <c r="K57" s="24">
        <f ca="1">'106 (6)'!K57+'106 (12)'!K57</f>
        <v>0</v>
      </c>
      <c r="L57" s="24">
        <f ca="1">'106 (6)'!L57+'106 (12)'!L57</f>
        <v>0</v>
      </c>
      <c r="M57" s="24">
        <f ca="1">'106 (6)'!M57+'106 (12)'!M57</f>
        <v>0</v>
      </c>
      <c r="N57" s="24">
        <f ca="1">'106 (6)'!N57+'106 (12)'!N57</f>
        <v>0</v>
      </c>
      <c r="O57" s="24">
        <f ca="1">'106 (6)'!O57+'106 (12)'!O57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4">
        <f ca="1">'106 (6)'!D58+'106 (12)'!D58</f>
        <v>3</v>
      </c>
      <c r="E58" s="24">
        <f ca="1">'106 (6)'!E58+'106 (12)'!E58</f>
        <v>0</v>
      </c>
      <c r="F58" s="24">
        <f ca="1">'106 (6)'!F58+'106 (12)'!F58</f>
        <v>0</v>
      </c>
      <c r="G58" s="24">
        <f ca="1">'106 (6)'!G58+'106 (12)'!G58</f>
        <v>0</v>
      </c>
      <c r="H58" s="24">
        <f ca="1">'106 (6)'!H58+'106 (12)'!H58</f>
        <v>0</v>
      </c>
      <c r="I58" s="24">
        <f ca="1">'106 (6)'!I58+'106 (12)'!I58</f>
        <v>0</v>
      </c>
      <c r="J58" s="24">
        <f ca="1">'106 (6)'!J58+'106 (12)'!J58</f>
        <v>0</v>
      </c>
      <c r="K58" s="24">
        <f ca="1">'106 (6)'!K58+'106 (12)'!K58</f>
        <v>0</v>
      </c>
      <c r="L58" s="24">
        <f ca="1">'106 (6)'!L58+'106 (12)'!L58</f>
        <v>0</v>
      </c>
      <c r="M58" s="24">
        <f ca="1">'106 (6)'!M58+'106 (12)'!M58</f>
        <v>0</v>
      </c>
      <c r="N58" s="24">
        <f ca="1">'106 (6)'!N58+'106 (12)'!N58</f>
        <v>0</v>
      </c>
      <c r="O58" s="24">
        <f ca="1">'106 (6)'!O58+'106 (12)'!O58</f>
        <v>0</v>
      </c>
    </row>
    <row r="59" spans="1:15">
      <c r="A59" s="27"/>
      <c r="C59" s="33">
        <f>Справочник!J1</f>
        <v>2019</v>
      </c>
      <c r="D59" s="24">
        <f ca="1">'106 (6)'!D59+'106 (12)'!D59</f>
        <v>0</v>
      </c>
      <c r="E59" s="24">
        <f ca="1">'106 (6)'!E59+'106 (12)'!E59</f>
        <v>0</v>
      </c>
      <c r="F59" s="24">
        <f ca="1">'106 (6)'!F59+'106 (12)'!F59</f>
        <v>0</v>
      </c>
      <c r="G59" s="24">
        <f ca="1">'106 (6)'!G59+'106 (12)'!G59</f>
        <v>0</v>
      </c>
      <c r="H59" s="24">
        <f ca="1">'106 (6)'!H59+'106 (12)'!H59</f>
        <v>0</v>
      </c>
      <c r="I59" s="24">
        <f ca="1">'106 (6)'!I59+'106 (12)'!I59</f>
        <v>0</v>
      </c>
      <c r="J59" s="24">
        <f ca="1">'106 (6)'!J59+'106 (12)'!J59</f>
        <v>0</v>
      </c>
      <c r="K59" s="24">
        <f ca="1">'106 (6)'!K59+'106 (12)'!K59</f>
        <v>0</v>
      </c>
      <c r="L59" s="24">
        <f ca="1">'106 (6)'!L59+'106 (12)'!L59</f>
        <v>0</v>
      </c>
      <c r="M59" s="24">
        <f ca="1">'106 (6)'!M59+'106 (12)'!M59</f>
        <v>0</v>
      </c>
      <c r="N59" s="24">
        <f ca="1">'106 (6)'!N59+'106 (12)'!N59</f>
        <v>0</v>
      </c>
      <c r="O59" s="24">
        <f ca="1">'106 (6)'!O59+'106 (12)'!O59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150">
        <f ca="1">'106 (6)'!D61+'106 (12)'!D61</f>
        <v>111</v>
      </c>
      <c r="E61" s="150">
        <f ca="1">'106 (6)'!E61+'106 (12)'!E61</f>
        <v>0</v>
      </c>
      <c r="F61" s="150">
        <f ca="1">'106 (6)'!F61+'106 (12)'!F61</f>
        <v>0</v>
      </c>
      <c r="G61" s="150">
        <f ca="1">'106 (6)'!G61+'106 (12)'!G61</f>
        <v>0</v>
      </c>
      <c r="H61" s="150">
        <f ca="1">'106 (6)'!H61+'106 (12)'!H61</f>
        <v>0</v>
      </c>
      <c r="I61" s="150">
        <f ca="1">'106 (6)'!I61+'106 (12)'!I61</f>
        <v>0</v>
      </c>
      <c r="J61" s="150">
        <f ca="1">'106 (6)'!J61+'106 (12)'!J61</f>
        <v>0</v>
      </c>
      <c r="K61" s="150">
        <f ca="1">'106 (6)'!K61+'106 (12)'!K61</f>
        <v>0</v>
      </c>
      <c r="L61" s="150">
        <f ca="1">'106 (6)'!L61+'106 (12)'!L61</f>
        <v>0</v>
      </c>
      <c r="M61" s="150">
        <f ca="1">'106 (6)'!M61+'106 (12)'!M61</f>
        <v>0</v>
      </c>
      <c r="N61" s="150">
        <f ca="1">'106 (6)'!N61+'106 (12)'!N61</f>
        <v>0</v>
      </c>
      <c r="O61" s="150">
        <f ca="1">'106 (6)'!O61+'106 (12)'!O61</f>
        <v>0</v>
      </c>
    </row>
    <row r="62" spans="1:15">
      <c r="A62" s="91" t="s">
        <v>372</v>
      </c>
      <c r="B62" s="92"/>
      <c r="C62" s="92"/>
      <c r="D62" s="150">
        <f ca="1">'106 (6)'!D62+'106 (12)'!D62</f>
        <v>144</v>
      </c>
      <c r="E62" s="150">
        <f ca="1">'106 (6)'!E62+'106 (12)'!E62</f>
        <v>0</v>
      </c>
      <c r="F62" s="150">
        <f ca="1">'106 (6)'!F62+'106 (12)'!F62</f>
        <v>0</v>
      </c>
      <c r="G62" s="150">
        <f ca="1">'106 (6)'!G62+'106 (12)'!G62</f>
        <v>0</v>
      </c>
      <c r="H62" s="150">
        <f ca="1">'106 (6)'!H62+'106 (12)'!H62</f>
        <v>0</v>
      </c>
      <c r="I62" s="150">
        <f ca="1">'106 (6)'!I62+'106 (12)'!I62</f>
        <v>0</v>
      </c>
      <c r="J62" s="150">
        <f ca="1">'106 (6)'!J62+'106 (12)'!J62</f>
        <v>0</v>
      </c>
      <c r="K62" s="150">
        <f ca="1">'106 (6)'!K62+'106 (12)'!K62</f>
        <v>0</v>
      </c>
      <c r="L62" s="150">
        <f ca="1">'106 (6)'!L62+'106 (12)'!L62</f>
        <v>0</v>
      </c>
      <c r="M62" s="150">
        <f ca="1">'106 (6)'!M62+'106 (12)'!M62</f>
        <v>0</v>
      </c>
      <c r="N62" s="150">
        <f ca="1">'106 (6)'!N62+'106 (12)'!N62</f>
        <v>0</v>
      </c>
      <c r="O62" s="150">
        <f ca="1">'106 (6)'!O62+'106 (12)'!O62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0.43529411764705883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150">
        <f ca="1">'106 (6)'!D64+'106 (12)'!D64</f>
        <v>107</v>
      </c>
      <c r="E64" s="150">
        <f ca="1">'106 (6)'!E64+'106 (12)'!E64</f>
        <v>0</v>
      </c>
      <c r="F64" s="150">
        <f ca="1">'106 (6)'!F64+'106 (12)'!F64</f>
        <v>0</v>
      </c>
      <c r="G64" s="150">
        <f ca="1">'106 (6)'!G64+'106 (12)'!G64</f>
        <v>0</v>
      </c>
      <c r="H64" s="150">
        <f ca="1">'106 (6)'!H64+'106 (12)'!H64</f>
        <v>0</v>
      </c>
      <c r="I64" s="150">
        <f ca="1">'106 (6)'!I64+'106 (12)'!I64</f>
        <v>0</v>
      </c>
      <c r="J64" s="150">
        <f ca="1">'106 (6)'!J64+'106 (12)'!J64</f>
        <v>0</v>
      </c>
      <c r="K64" s="150">
        <f ca="1">'106 (6)'!K64+'106 (12)'!K64</f>
        <v>0</v>
      </c>
      <c r="L64" s="150">
        <f ca="1">'106 (6)'!L64+'106 (12)'!L64</f>
        <v>0</v>
      </c>
      <c r="M64" s="150">
        <f ca="1">'106 (6)'!M64+'106 (12)'!M64</f>
        <v>0</v>
      </c>
      <c r="N64" s="150">
        <f ca="1">'106 (6)'!N64+'106 (12)'!N64</f>
        <v>0</v>
      </c>
      <c r="O64" s="150">
        <f ca="1">'106 (6)'!O64+'106 (12)'!O64</f>
        <v>0</v>
      </c>
    </row>
    <row r="65" spans="1:15">
      <c r="A65" s="100" t="s">
        <v>372</v>
      </c>
      <c r="B65" s="97"/>
      <c r="C65" s="97"/>
      <c r="D65" s="150">
        <f ca="1">'106 (6)'!D65+'106 (12)'!D65</f>
        <v>126</v>
      </c>
      <c r="E65" s="150">
        <f ca="1">'106 (6)'!E65+'106 (12)'!E65</f>
        <v>0</v>
      </c>
      <c r="F65" s="150">
        <f ca="1">'106 (6)'!F65+'106 (12)'!F65</f>
        <v>0</v>
      </c>
      <c r="G65" s="150">
        <f ca="1">'106 (6)'!G65+'106 (12)'!G65</f>
        <v>0</v>
      </c>
      <c r="H65" s="150">
        <f ca="1">'106 (6)'!H65+'106 (12)'!H65</f>
        <v>0</v>
      </c>
      <c r="I65" s="150">
        <f ca="1">'106 (6)'!I65+'106 (12)'!I65</f>
        <v>0</v>
      </c>
      <c r="J65" s="150">
        <f ca="1">'106 (6)'!J65+'106 (12)'!J65</f>
        <v>0</v>
      </c>
      <c r="K65" s="150">
        <f ca="1">'106 (6)'!K65+'106 (12)'!K65</f>
        <v>0</v>
      </c>
      <c r="L65" s="150">
        <f ca="1">'106 (6)'!L65+'106 (12)'!L65</f>
        <v>0</v>
      </c>
      <c r="M65" s="150">
        <f ca="1">'106 (6)'!M65+'106 (12)'!M65</f>
        <v>0</v>
      </c>
      <c r="N65" s="150">
        <f ca="1">'106 (6)'!N65+'106 (12)'!N65</f>
        <v>0</v>
      </c>
      <c r="O65" s="150">
        <f ca="1">'106 (6)'!O65+'106 (12)'!O65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0.45922746781115881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150">
        <f ca="1">'106 (6)'!D67+'106 (12)'!D67</f>
        <v>36</v>
      </c>
      <c r="E67" s="150">
        <f ca="1">'106 (6)'!E67+'106 (12)'!E67</f>
        <v>0</v>
      </c>
      <c r="F67" s="150">
        <f ca="1">'106 (6)'!F67+'106 (12)'!F67</f>
        <v>0</v>
      </c>
      <c r="G67" s="150">
        <f ca="1">'106 (6)'!G67+'106 (12)'!G67</f>
        <v>0</v>
      </c>
      <c r="H67" s="150">
        <f ca="1">'106 (6)'!H67+'106 (12)'!H67</f>
        <v>0</v>
      </c>
      <c r="I67" s="150">
        <f ca="1">'106 (6)'!I67+'106 (12)'!I67</f>
        <v>0</v>
      </c>
      <c r="J67" s="150">
        <f ca="1">'106 (6)'!J67+'106 (12)'!J67</f>
        <v>0</v>
      </c>
      <c r="K67" s="150">
        <f ca="1">'106 (6)'!K67+'106 (12)'!K67</f>
        <v>0</v>
      </c>
      <c r="L67" s="150">
        <f ca="1">'106 (6)'!L67+'106 (12)'!L67</f>
        <v>0</v>
      </c>
      <c r="M67" s="150">
        <f ca="1">'106 (6)'!M67+'106 (12)'!M67</f>
        <v>0</v>
      </c>
      <c r="N67" s="150">
        <f ca="1">'106 (6)'!N67+'106 (12)'!N67</f>
        <v>0</v>
      </c>
      <c r="O67" s="150">
        <f ca="1">'106 (6)'!O67+'106 (12)'!O67</f>
        <v>0</v>
      </c>
    </row>
    <row r="68" spans="1:15">
      <c r="A68" s="91" t="s">
        <v>372</v>
      </c>
      <c r="B68" s="92"/>
      <c r="C68" s="92"/>
      <c r="D68" s="150">
        <f ca="1">'106 (6)'!D68+'106 (12)'!D68</f>
        <v>26</v>
      </c>
      <c r="E68" s="150">
        <f ca="1">'106 (6)'!E68+'106 (12)'!E68</f>
        <v>0</v>
      </c>
      <c r="F68" s="150">
        <f ca="1">'106 (6)'!F68+'106 (12)'!F68</f>
        <v>0</v>
      </c>
      <c r="G68" s="150">
        <f ca="1">'106 (6)'!G68+'106 (12)'!G68</f>
        <v>0</v>
      </c>
      <c r="H68" s="150">
        <f ca="1">'106 (6)'!H68+'106 (12)'!H68</f>
        <v>0</v>
      </c>
      <c r="I68" s="150">
        <f ca="1">'106 (6)'!I68+'106 (12)'!I68</f>
        <v>0</v>
      </c>
      <c r="J68" s="150">
        <f ca="1">'106 (6)'!J68+'106 (12)'!J68</f>
        <v>0</v>
      </c>
      <c r="K68" s="150">
        <f ca="1">'106 (6)'!K68+'106 (12)'!K68</f>
        <v>0</v>
      </c>
      <c r="L68" s="150">
        <f ca="1">'106 (6)'!L68+'106 (12)'!L68</f>
        <v>0</v>
      </c>
      <c r="M68" s="150">
        <f ca="1">'106 (6)'!M68+'106 (12)'!M68</f>
        <v>0</v>
      </c>
      <c r="N68" s="150">
        <f ca="1">'106 (6)'!N68+'106 (12)'!N68</f>
        <v>0</v>
      </c>
      <c r="O68" s="150">
        <f ca="1">'106 (6)'!O68+'106 (12)'!O68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0.58064516129032262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150">
        <f ca="1">'106 (6)'!D70+'106 (12)'!D70</f>
        <v>21</v>
      </c>
      <c r="E70" s="150">
        <f ca="1">'106 (6)'!E70+'106 (12)'!E70</f>
        <v>0</v>
      </c>
      <c r="F70" s="150">
        <f ca="1">'106 (6)'!F70+'106 (12)'!F70</f>
        <v>0</v>
      </c>
      <c r="G70" s="150">
        <f ca="1">'106 (6)'!G70+'106 (12)'!G70</f>
        <v>0</v>
      </c>
      <c r="H70" s="150">
        <f ca="1">'106 (6)'!H70+'106 (12)'!H70</f>
        <v>0</v>
      </c>
      <c r="I70" s="150">
        <f ca="1">'106 (6)'!I70+'106 (12)'!I70</f>
        <v>0</v>
      </c>
      <c r="J70" s="150">
        <f ca="1">'106 (6)'!J70+'106 (12)'!J70</f>
        <v>0</v>
      </c>
      <c r="K70" s="150">
        <f ca="1">'106 (6)'!K70+'106 (12)'!K70</f>
        <v>0</v>
      </c>
      <c r="L70" s="150">
        <f ca="1">'106 (6)'!L70+'106 (12)'!L70</f>
        <v>0</v>
      </c>
      <c r="M70" s="150">
        <f ca="1">'106 (6)'!M70+'106 (12)'!M70</f>
        <v>0</v>
      </c>
      <c r="N70" s="150">
        <f ca="1">'106 (6)'!N70+'106 (12)'!N70</f>
        <v>0</v>
      </c>
      <c r="O70" s="150">
        <f ca="1">'106 (6)'!O70+'106 (12)'!O70</f>
        <v>0</v>
      </c>
    </row>
    <row r="71" spans="1:15">
      <c r="A71" s="100" t="s">
        <v>372</v>
      </c>
      <c r="B71" s="97"/>
      <c r="C71" s="97"/>
      <c r="D71" s="150">
        <f ca="1">'106 (6)'!D71+'106 (12)'!D71</f>
        <v>20</v>
      </c>
      <c r="E71" s="150">
        <f ca="1">'106 (6)'!E71+'106 (12)'!E71</f>
        <v>0</v>
      </c>
      <c r="F71" s="150">
        <f ca="1">'106 (6)'!F71+'106 (12)'!F71</f>
        <v>0</v>
      </c>
      <c r="G71" s="150">
        <f ca="1">'106 (6)'!G71+'106 (12)'!G71</f>
        <v>0</v>
      </c>
      <c r="H71" s="150">
        <f ca="1">'106 (6)'!H71+'106 (12)'!H71</f>
        <v>0</v>
      </c>
      <c r="I71" s="150">
        <f ca="1">'106 (6)'!I71+'106 (12)'!I71</f>
        <v>0</v>
      </c>
      <c r="J71" s="150">
        <f ca="1">'106 (6)'!J71+'106 (12)'!J71</f>
        <v>0</v>
      </c>
      <c r="K71" s="150">
        <f ca="1">'106 (6)'!K71+'106 (12)'!K71</f>
        <v>0</v>
      </c>
      <c r="L71" s="150">
        <f ca="1">'106 (6)'!L71+'106 (12)'!L71</f>
        <v>0</v>
      </c>
      <c r="M71" s="150">
        <f ca="1">'106 (6)'!M71+'106 (12)'!M71</f>
        <v>0</v>
      </c>
      <c r="N71" s="150">
        <f ca="1">'106 (6)'!N71+'106 (12)'!N71</f>
        <v>0</v>
      </c>
      <c r="O71" s="150">
        <f ca="1">'106 (6)'!O71+'106 (12)'!O71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0.51219512195121952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150">
        <f ca="1">'106 (6)'!D73+'106 (12)'!D73</f>
        <v>1</v>
      </c>
      <c r="E73" s="150">
        <f ca="1">'106 (6)'!E73+'106 (12)'!E73</f>
        <v>0</v>
      </c>
      <c r="F73" s="150">
        <f ca="1">'106 (6)'!F73+'106 (12)'!F73</f>
        <v>0</v>
      </c>
      <c r="G73" s="150">
        <f ca="1">'106 (6)'!G73+'106 (12)'!G73</f>
        <v>0</v>
      </c>
      <c r="H73" s="150">
        <f ca="1">'106 (6)'!H73+'106 (12)'!H73</f>
        <v>0</v>
      </c>
      <c r="I73" s="150">
        <f ca="1">'106 (6)'!I73+'106 (12)'!I73</f>
        <v>0</v>
      </c>
      <c r="J73" s="150">
        <f ca="1">'106 (6)'!J73+'106 (12)'!J73</f>
        <v>0</v>
      </c>
      <c r="K73" s="150">
        <f ca="1">'106 (6)'!K73+'106 (12)'!K73</f>
        <v>0</v>
      </c>
      <c r="L73" s="150">
        <f ca="1">'106 (6)'!L73+'106 (12)'!L73</f>
        <v>0</v>
      </c>
      <c r="M73" s="150">
        <f ca="1">'106 (6)'!M73+'106 (12)'!M73</f>
        <v>0</v>
      </c>
      <c r="N73" s="150">
        <f ca="1">'106 (6)'!N73+'106 (12)'!N73</f>
        <v>0</v>
      </c>
      <c r="O73" s="150">
        <f ca="1">'106 (6)'!O73+'106 (12)'!O73</f>
        <v>0</v>
      </c>
    </row>
    <row r="74" spans="1:15">
      <c r="A74" s="91" t="s">
        <v>372</v>
      </c>
      <c r="B74" s="92"/>
      <c r="C74" s="92"/>
      <c r="D74" s="150">
        <f ca="1">'106 (6)'!D74+'106 (12)'!D74</f>
        <v>0</v>
      </c>
      <c r="E74" s="150">
        <f ca="1">'106 (6)'!E74+'106 (12)'!E74</f>
        <v>0</v>
      </c>
      <c r="F74" s="150">
        <f ca="1">'106 (6)'!F74+'106 (12)'!F74</f>
        <v>0</v>
      </c>
      <c r="G74" s="150">
        <f ca="1">'106 (6)'!G74+'106 (12)'!G74</f>
        <v>0</v>
      </c>
      <c r="H74" s="150">
        <f ca="1">'106 (6)'!H74+'106 (12)'!H74</f>
        <v>0</v>
      </c>
      <c r="I74" s="150">
        <f ca="1">'106 (6)'!I74+'106 (12)'!I74</f>
        <v>0</v>
      </c>
      <c r="J74" s="150">
        <f ca="1">'106 (6)'!J74+'106 (12)'!J74</f>
        <v>0</v>
      </c>
      <c r="K74" s="150">
        <f ca="1">'106 (6)'!K74+'106 (12)'!K74</f>
        <v>0</v>
      </c>
      <c r="L74" s="150">
        <f ca="1">'106 (6)'!L74+'106 (12)'!L74</f>
        <v>0</v>
      </c>
      <c r="M74" s="150">
        <f ca="1">'106 (6)'!M74+'106 (12)'!M74</f>
        <v>0</v>
      </c>
      <c r="N74" s="150">
        <f ca="1">'106 (6)'!N74+'106 (12)'!N74</f>
        <v>0</v>
      </c>
      <c r="O74" s="150">
        <f ca="1">'106 (6)'!O74+'106 (12)'!O74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150">
        <f ca="1">'106 (6)'!D76+'106 (12)'!D76</f>
        <v>1</v>
      </c>
      <c r="E76" s="150">
        <f ca="1">'106 (6)'!E76+'106 (12)'!E76</f>
        <v>0</v>
      </c>
      <c r="F76" s="150">
        <f ca="1">'106 (6)'!F76+'106 (12)'!F76</f>
        <v>0</v>
      </c>
      <c r="G76" s="150">
        <f ca="1">'106 (6)'!G76+'106 (12)'!G76</f>
        <v>0</v>
      </c>
      <c r="H76" s="150">
        <f ca="1">'106 (6)'!H76+'106 (12)'!H76</f>
        <v>0</v>
      </c>
      <c r="I76" s="150">
        <f ca="1">'106 (6)'!I76+'106 (12)'!I76</f>
        <v>0</v>
      </c>
      <c r="J76" s="150">
        <f ca="1">'106 (6)'!J76+'106 (12)'!J76</f>
        <v>0</v>
      </c>
      <c r="K76" s="150">
        <f ca="1">'106 (6)'!K76+'106 (12)'!K76</f>
        <v>0</v>
      </c>
      <c r="L76" s="150">
        <f ca="1">'106 (6)'!L76+'106 (12)'!L76</f>
        <v>0</v>
      </c>
      <c r="M76" s="150">
        <f ca="1">'106 (6)'!M76+'106 (12)'!M76</f>
        <v>0</v>
      </c>
      <c r="N76" s="150">
        <f ca="1">'106 (6)'!N76+'106 (12)'!N76</f>
        <v>0</v>
      </c>
      <c r="O76" s="150">
        <f ca="1">'106 (6)'!O76+'106 (12)'!O76</f>
        <v>0</v>
      </c>
    </row>
    <row r="77" spans="1:15">
      <c r="A77" s="100" t="s">
        <v>372</v>
      </c>
      <c r="B77" s="97"/>
      <c r="C77" s="97"/>
      <c r="D77" s="150">
        <f ca="1">'106 (6)'!D77+'106 (12)'!D77</f>
        <v>0</v>
      </c>
      <c r="E77" s="150">
        <f ca="1">'106 (6)'!E77+'106 (12)'!E77</f>
        <v>0</v>
      </c>
      <c r="F77" s="150">
        <f ca="1">'106 (6)'!F77+'106 (12)'!F77</f>
        <v>0</v>
      </c>
      <c r="G77" s="150">
        <f ca="1">'106 (6)'!G77+'106 (12)'!G77</f>
        <v>0</v>
      </c>
      <c r="H77" s="150">
        <f ca="1">'106 (6)'!H77+'106 (12)'!H77</f>
        <v>0</v>
      </c>
      <c r="I77" s="150">
        <f ca="1">'106 (6)'!I77+'106 (12)'!I77</f>
        <v>0</v>
      </c>
      <c r="J77" s="150">
        <f ca="1">'106 (6)'!J77+'106 (12)'!J77</f>
        <v>0</v>
      </c>
      <c r="K77" s="150">
        <f ca="1">'106 (6)'!K77+'106 (12)'!K77</f>
        <v>0</v>
      </c>
      <c r="L77" s="150">
        <f ca="1">'106 (6)'!L77+'106 (12)'!L77</f>
        <v>0</v>
      </c>
      <c r="M77" s="150">
        <f ca="1">'106 (6)'!M77+'106 (12)'!M77</f>
        <v>0</v>
      </c>
      <c r="N77" s="150">
        <f ca="1">'106 (6)'!N77+'106 (12)'!N77</f>
        <v>0</v>
      </c>
      <c r="O77" s="150">
        <f ca="1">'106 (6)'!O77+'106 (12)'!O77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150">
        <f ca="1">'106 (6)'!D79+'106 (12)'!D79</f>
        <v>4</v>
      </c>
      <c r="E79" s="150">
        <f ca="1">'106 (6)'!E79+'106 (12)'!E79</f>
        <v>0</v>
      </c>
      <c r="F79" s="150">
        <f ca="1">'106 (6)'!F79+'106 (12)'!F79</f>
        <v>0</v>
      </c>
      <c r="G79" s="150">
        <f ca="1">'106 (6)'!G79+'106 (12)'!G79</f>
        <v>0</v>
      </c>
      <c r="H79" s="150">
        <f ca="1">'106 (6)'!H79+'106 (12)'!H79</f>
        <v>0</v>
      </c>
      <c r="I79" s="150">
        <f ca="1">'106 (6)'!I79+'106 (12)'!I79</f>
        <v>0</v>
      </c>
      <c r="J79" s="150">
        <f ca="1">'106 (6)'!J79+'106 (12)'!J79</f>
        <v>0</v>
      </c>
      <c r="K79" s="150">
        <f ca="1">'106 (6)'!K79+'106 (12)'!K79</f>
        <v>0</v>
      </c>
      <c r="L79" s="150">
        <f ca="1">'106 (6)'!L79+'106 (12)'!L79</f>
        <v>0</v>
      </c>
      <c r="M79" s="150">
        <f ca="1">'106 (6)'!M79+'106 (12)'!M79</f>
        <v>0</v>
      </c>
      <c r="N79" s="150">
        <f ca="1">'106 (6)'!N79+'106 (12)'!N79</f>
        <v>0</v>
      </c>
      <c r="O79" s="150">
        <f ca="1">'106 (6)'!O79+'106 (12)'!O79</f>
        <v>0</v>
      </c>
    </row>
    <row r="80" spans="1:15">
      <c r="A80" s="91" t="s">
        <v>372</v>
      </c>
      <c r="B80" s="92"/>
      <c r="C80" s="92"/>
      <c r="D80" s="150">
        <f ca="1">'106 (6)'!D80+'106 (12)'!D80</f>
        <v>0</v>
      </c>
      <c r="E80" s="150">
        <f ca="1">'106 (6)'!E80+'106 (12)'!E80</f>
        <v>0</v>
      </c>
      <c r="F80" s="150">
        <f ca="1">'106 (6)'!F80+'106 (12)'!F80</f>
        <v>0</v>
      </c>
      <c r="G80" s="150">
        <f ca="1">'106 (6)'!G80+'106 (12)'!G80</f>
        <v>0</v>
      </c>
      <c r="H80" s="150">
        <f ca="1">'106 (6)'!H80+'106 (12)'!H80</f>
        <v>0</v>
      </c>
      <c r="I80" s="150">
        <f ca="1">'106 (6)'!I80+'106 (12)'!I80</f>
        <v>0</v>
      </c>
      <c r="J80" s="150">
        <f ca="1">'106 (6)'!J80+'106 (12)'!J80</f>
        <v>0</v>
      </c>
      <c r="K80" s="150">
        <f ca="1">'106 (6)'!K80+'106 (12)'!K80</f>
        <v>0</v>
      </c>
      <c r="L80" s="150">
        <f ca="1">'106 (6)'!L80+'106 (12)'!L80</f>
        <v>0</v>
      </c>
      <c r="M80" s="150">
        <f ca="1">'106 (6)'!M80+'106 (12)'!M80</f>
        <v>0</v>
      </c>
      <c r="N80" s="150">
        <f ca="1">'106 (6)'!N80+'106 (12)'!N80</f>
        <v>0</v>
      </c>
      <c r="O80" s="150">
        <f ca="1">'106 (6)'!O80+'106 (12)'!O80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150">
        <f ca="1">'106 (6)'!D82+'106 (12)'!D82</f>
        <v>4</v>
      </c>
      <c r="E82" s="150">
        <f ca="1">'106 (6)'!E82+'106 (12)'!E82</f>
        <v>0</v>
      </c>
      <c r="F82" s="150">
        <f ca="1">'106 (6)'!F82+'106 (12)'!F82</f>
        <v>0</v>
      </c>
      <c r="G82" s="150">
        <f ca="1">'106 (6)'!G82+'106 (12)'!G82</f>
        <v>0</v>
      </c>
      <c r="H82" s="150">
        <f ca="1">'106 (6)'!H82+'106 (12)'!H82</f>
        <v>0</v>
      </c>
      <c r="I82" s="150">
        <f ca="1">'106 (6)'!I82+'106 (12)'!I82</f>
        <v>0</v>
      </c>
      <c r="J82" s="150">
        <f ca="1">'106 (6)'!J82+'106 (12)'!J82</f>
        <v>0</v>
      </c>
      <c r="K82" s="150">
        <f ca="1">'106 (6)'!K82+'106 (12)'!K82</f>
        <v>0</v>
      </c>
      <c r="L82" s="150">
        <f ca="1">'106 (6)'!L82+'106 (12)'!L82</f>
        <v>0</v>
      </c>
      <c r="M82" s="150">
        <f ca="1">'106 (6)'!M82+'106 (12)'!M82</f>
        <v>0</v>
      </c>
      <c r="N82" s="150">
        <f ca="1">'106 (6)'!N82+'106 (12)'!N82</f>
        <v>0</v>
      </c>
      <c r="O82" s="150">
        <f ca="1">'106 (6)'!O82+'106 (12)'!O82</f>
        <v>0</v>
      </c>
    </row>
    <row r="83" spans="1:15">
      <c r="A83" s="100" t="s">
        <v>372</v>
      </c>
      <c r="B83" s="97"/>
      <c r="C83" s="97"/>
      <c r="D83" s="150">
        <f ca="1">'106 (6)'!D83+'106 (12)'!D83</f>
        <v>0</v>
      </c>
      <c r="E83" s="150">
        <f ca="1">'106 (6)'!E83+'106 (12)'!E83</f>
        <v>0</v>
      </c>
      <c r="F83" s="150">
        <f ca="1">'106 (6)'!F83+'106 (12)'!F83</f>
        <v>0</v>
      </c>
      <c r="G83" s="150">
        <f ca="1">'106 (6)'!G83+'106 (12)'!G83</f>
        <v>0</v>
      </c>
      <c r="H83" s="150">
        <f ca="1">'106 (6)'!H83+'106 (12)'!H83</f>
        <v>0</v>
      </c>
      <c r="I83" s="150">
        <f ca="1">'106 (6)'!I83+'106 (12)'!I83</f>
        <v>0</v>
      </c>
      <c r="J83" s="150">
        <f ca="1">'106 (6)'!J83+'106 (12)'!J83</f>
        <v>0</v>
      </c>
      <c r="K83" s="150">
        <f ca="1">'106 (6)'!K83+'106 (12)'!K83</f>
        <v>0</v>
      </c>
      <c r="L83" s="150">
        <f ca="1">'106 (6)'!L83+'106 (12)'!L83</f>
        <v>0</v>
      </c>
      <c r="M83" s="150">
        <f ca="1">'106 (6)'!M83+'106 (12)'!M83</f>
        <v>0</v>
      </c>
      <c r="N83" s="150">
        <f ca="1">'106 (6)'!N83+'106 (12)'!N83</f>
        <v>0</v>
      </c>
      <c r="O83" s="150">
        <f ca="1">'106 (6)'!O83+'106 (12)'!O83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150">
        <f ca="1">'106 (6)'!D85+'106 (12)'!D85</f>
        <v>1</v>
      </c>
      <c r="E85" s="150">
        <f ca="1">'106 (6)'!E85+'106 (12)'!E85</f>
        <v>0</v>
      </c>
      <c r="F85" s="150">
        <f ca="1">'106 (6)'!F85+'106 (12)'!F85</f>
        <v>0</v>
      </c>
      <c r="G85" s="150">
        <f ca="1">'106 (6)'!G85+'106 (12)'!G85</f>
        <v>0</v>
      </c>
      <c r="H85" s="150">
        <f ca="1">'106 (6)'!H85+'106 (12)'!H85</f>
        <v>0</v>
      </c>
      <c r="I85" s="150">
        <f ca="1">'106 (6)'!I85+'106 (12)'!I85</f>
        <v>0</v>
      </c>
      <c r="J85" s="150">
        <f ca="1">'106 (6)'!J85+'106 (12)'!J85</f>
        <v>0</v>
      </c>
      <c r="K85" s="150">
        <f ca="1">'106 (6)'!K85+'106 (12)'!K85</f>
        <v>0</v>
      </c>
      <c r="L85" s="150">
        <f ca="1">'106 (6)'!L85+'106 (12)'!L85</f>
        <v>0</v>
      </c>
      <c r="M85" s="150">
        <f ca="1">'106 (6)'!M85+'106 (12)'!M85</f>
        <v>0</v>
      </c>
      <c r="N85" s="150">
        <f ca="1">'106 (6)'!N85+'106 (12)'!N85</f>
        <v>0</v>
      </c>
      <c r="O85" s="150">
        <f ca="1">'106 (6)'!O85+'106 (12)'!O85</f>
        <v>0</v>
      </c>
    </row>
    <row r="86" spans="1:15">
      <c r="A86" s="91" t="s">
        <v>372</v>
      </c>
      <c r="B86" s="92"/>
      <c r="C86" s="92"/>
      <c r="D86" s="150">
        <f ca="1">'106 (6)'!D86+'106 (12)'!D86</f>
        <v>0</v>
      </c>
      <c r="E86" s="150">
        <f ca="1">'106 (6)'!E86+'106 (12)'!E86</f>
        <v>0</v>
      </c>
      <c r="F86" s="150">
        <f ca="1">'106 (6)'!F86+'106 (12)'!F86</f>
        <v>0</v>
      </c>
      <c r="G86" s="150">
        <f ca="1">'106 (6)'!G86+'106 (12)'!G86</f>
        <v>0</v>
      </c>
      <c r="H86" s="150">
        <f ca="1">'106 (6)'!H86+'106 (12)'!H86</f>
        <v>0</v>
      </c>
      <c r="I86" s="150">
        <f ca="1">'106 (6)'!I86+'106 (12)'!I86</f>
        <v>0</v>
      </c>
      <c r="J86" s="150">
        <f ca="1">'106 (6)'!J86+'106 (12)'!J86</f>
        <v>0</v>
      </c>
      <c r="K86" s="150">
        <f ca="1">'106 (6)'!K86+'106 (12)'!K86</f>
        <v>0</v>
      </c>
      <c r="L86" s="150">
        <f ca="1">'106 (6)'!L86+'106 (12)'!L86</f>
        <v>0</v>
      </c>
      <c r="M86" s="150">
        <f ca="1">'106 (6)'!M86+'106 (12)'!M86</f>
        <v>0</v>
      </c>
      <c r="N86" s="150">
        <f ca="1">'106 (6)'!N86+'106 (12)'!N86</f>
        <v>0</v>
      </c>
      <c r="O86" s="150">
        <f ca="1">'106 (6)'!O86+'106 (12)'!O86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150">
        <f ca="1">'106 (6)'!D88+'106 (12)'!D88</f>
        <v>2</v>
      </c>
      <c r="E88" s="150">
        <f ca="1">'106 (6)'!E88+'106 (12)'!E88</f>
        <v>0</v>
      </c>
      <c r="F88" s="150">
        <f ca="1">'106 (6)'!F88+'106 (12)'!F88</f>
        <v>0</v>
      </c>
      <c r="G88" s="150">
        <f ca="1">'106 (6)'!G88+'106 (12)'!G88</f>
        <v>0</v>
      </c>
      <c r="H88" s="150">
        <f ca="1">'106 (6)'!H88+'106 (12)'!H88</f>
        <v>0</v>
      </c>
      <c r="I88" s="150">
        <f ca="1">'106 (6)'!I88+'106 (12)'!I88</f>
        <v>0</v>
      </c>
      <c r="J88" s="150">
        <f ca="1">'106 (6)'!J88+'106 (12)'!J88</f>
        <v>0</v>
      </c>
      <c r="K88" s="150">
        <f ca="1">'106 (6)'!K88+'106 (12)'!K88</f>
        <v>0</v>
      </c>
      <c r="L88" s="150">
        <f ca="1">'106 (6)'!L88+'106 (12)'!L88</f>
        <v>0</v>
      </c>
      <c r="M88" s="150">
        <f ca="1">'106 (6)'!M88+'106 (12)'!M88</f>
        <v>0</v>
      </c>
      <c r="N88" s="150">
        <f ca="1">'106 (6)'!N88+'106 (12)'!N88</f>
        <v>0</v>
      </c>
      <c r="O88" s="150">
        <f ca="1">'106 (6)'!O88+'106 (12)'!O88</f>
        <v>0</v>
      </c>
    </row>
    <row r="89" spans="1:15">
      <c r="A89" s="100" t="s">
        <v>372</v>
      </c>
      <c r="B89" s="97"/>
      <c r="C89" s="97"/>
      <c r="D89" s="150">
        <f ca="1">'106 (6)'!D89+'106 (12)'!D89</f>
        <v>0</v>
      </c>
      <c r="E89" s="150">
        <f ca="1">'106 (6)'!E89+'106 (12)'!E89</f>
        <v>0</v>
      </c>
      <c r="F89" s="150">
        <f ca="1">'106 (6)'!F89+'106 (12)'!F89</f>
        <v>0</v>
      </c>
      <c r="G89" s="150">
        <f ca="1">'106 (6)'!G89+'106 (12)'!G89</f>
        <v>0</v>
      </c>
      <c r="H89" s="150">
        <f ca="1">'106 (6)'!H89+'106 (12)'!H89</f>
        <v>0</v>
      </c>
      <c r="I89" s="150">
        <f ca="1">'106 (6)'!I89+'106 (12)'!I89</f>
        <v>0</v>
      </c>
      <c r="J89" s="150">
        <f ca="1">'106 (6)'!J89+'106 (12)'!J89</f>
        <v>0</v>
      </c>
      <c r="K89" s="150">
        <f ca="1">'106 (6)'!K89+'106 (12)'!K89</f>
        <v>0</v>
      </c>
      <c r="L89" s="150">
        <f ca="1">'106 (6)'!L89+'106 (12)'!L89</f>
        <v>0</v>
      </c>
      <c r="M89" s="150">
        <f ca="1">'106 (6)'!M89+'106 (12)'!M89</f>
        <v>0</v>
      </c>
      <c r="N89" s="150">
        <f ca="1">'106 (6)'!N89+'106 (12)'!N89</f>
        <v>0</v>
      </c>
      <c r="O89" s="150">
        <f ca="1">'106 (6)'!O89+'106 (12)'!O89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150">
        <f ca="1">'106 (6)'!D91+'106 (12)'!D91</f>
        <v>6</v>
      </c>
      <c r="E91" s="150">
        <f ca="1">'106 (6)'!E91+'106 (12)'!E91</f>
        <v>0</v>
      </c>
      <c r="F91" s="150">
        <f ca="1">'106 (6)'!F91+'106 (12)'!F91</f>
        <v>0</v>
      </c>
      <c r="G91" s="150">
        <f ca="1">'106 (6)'!G91+'106 (12)'!G91</f>
        <v>0</v>
      </c>
      <c r="H91" s="150">
        <f ca="1">'106 (6)'!H91+'106 (12)'!H91</f>
        <v>0</v>
      </c>
      <c r="I91" s="150">
        <f ca="1">'106 (6)'!I91+'106 (12)'!I91</f>
        <v>0</v>
      </c>
      <c r="J91" s="150">
        <f ca="1">'106 (6)'!J91+'106 (12)'!J91</f>
        <v>0</v>
      </c>
      <c r="K91" s="150">
        <f ca="1">'106 (6)'!K91+'106 (12)'!K91</f>
        <v>0</v>
      </c>
      <c r="L91" s="150">
        <f ca="1">'106 (6)'!L91+'106 (12)'!L91</f>
        <v>0</v>
      </c>
      <c r="M91" s="150">
        <f ca="1">'106 (6)'!M91+'106 (12)'!M91</f>
        <v>0</v>
      </c>
      <c r="N91" s="150">
        <f ca="1">'106 (6)'!N91+'106 (12)'!N91</f>
        <v>0</v>
      </c>
      <c r="O91" s="150">
        <f ca="1">'106 (6)'!O91+'106 (12)'!O91</f>
        <v>0</v>
      </c>
    </row>
    <row r="92" spans="1:15">
      <c r="A92" s="91" t="s">
        <v>372</v>
      </c>
      <c r="B92" s="92"/>
      <c r="C92" s="92"/>
      <c r="D92" s="150">
        <f ca="1">'106 (6)'!D92+'106 (12)'!D92</f>
        <v>2</v>
      </c>
      <c r="E92" s="150">
        <f ca="1">'106 (6)'!E92+'106 (12)'!E92</f>
        <v>0</v>
      </c>
      <c r="F92" s="150">
        <f ca="1">'106 (6)'!F92+'106 (12)'!F92</f>
        <v>0</v>
      </c>
      <c r="G92" s="150">
        <f ca="1">'106 (6)'!G92+'106 (12)'!G92</f>
        <v>0</v>
      </c>
      <c r="H92" s="150">
        <f ca="1">'106 (6)'!H92+'106 (12)'!H92</f>
        <v>0</v>
      </c>
      <c r="I92" s="150">
        <f ca="1">'106 (6)'!I92+'106 (12)'!I92</f>
        <v>0</v>
      </c>
      <c r="J92" s="150">
        <f ca="1">'106 (6)'!J92+'106 (12)'!J92</f>
        <v>0</v>
      </c>
      <c r="K92" s="150">
        <f ca="1">'106 (6)'!K92+'106 (12)'!K92</f>
        <v>0</v>
      </c>
      <c r="L92" s="150">
        <f ca="1">'106 (6)'!L92+'106 (12)'!L92</f>
        <v>0</v>
      </c>
      <c r="M92" s="150">
        <f ca="1">'106 (6)'!M92+'106 (12)'!M92</f>
        <v>0</v>
      </c>
      <c r="N92" s="150">
        <f ca="1">'106 (6)'!N92+'106 (12)'!N92</f>
        <v>0</v>
      </c>
      <c r="O92" s="150">
        <f ca="1">'106 (6)'!O92+'106 (12)'!O92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0.75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150">
        <f ca="1">'106 (6)'!D94+'106 (12)'!D94</f>
        <v>2</v>
      </c>
      <c r="E94" s="150">
        <f ca="1">'106 (6)'!E94+'106 (12)'!E94</f>
        <v>0</v>
      </c>
      <c r="F94" s="150">
        <f ca="1">'106 (6)'!F94+'106 (12)'!F94</f>
        <v>0</v>
      </c>
      <c r="G94" s="150">
        <f ca="1">'106 (6)'!G94+'106 (12)'!G94</f>
        <v>0</v>
      </c>
      <c r="H94" s="150">
        <f ca="1">'106 (6)'!H94+'106 (12)'!H94</f>
        <v>0</v>
      </c>
      <c r="I94" s="150">
        <f ca="1">'106 (6)'!I94+'106 (12)'!I94</f>
        <v>0</v>
      </c>
      <c r="J94" s="150">
        <f ca="1">'106 (6)'!J94+'106 (12)'!J94</f>
        <v>0</v>
      </c>
      <c r="K94" s="150">
        <f ca="1">'106 (6)'!K94+'106 (12)'!K94</f>
        <v>0</v>
      </c>
      <c r="L94" s="150">
        <f ca="1">'106 (6)'!L94+'106 (12)'!L94</f>
        <v>0</v>
      </c>
      <c r="M94" s="150">
        <f ca="1">'106 (6)'!M94+'106 (12)'!M94</f>
        <v>0</v>
      </c>
      <c r="N94" s="150">
        <f ca="1">'106 (6)'!N94+'106 (12)'!N94</f>
        <v>0</v>
      </c>
      <c r="O94" s="150">
        <f ca="1">'106 (6)'!O94+'106 (12)'!O94</f>
        <v>0</v>
      </c>
    </row>
    <row r="95" spans="1:15">
      <c r="A95" s="100" t="s">
        <v>372</v>
      </c>
      <c r="B95" s="97"/>
      <c r="C95" s="97"/>
      <c r="D95" s="150">
        <f ca="1">'106 (6)'!D95+'106 (12)'!D95</f>
        <v>4</v>
      </c>
      <c r="E95" s="150">
        <f ca="1">'106 (6)'!E95+'106 (12)'!E95</f>
        <v>0</v>
      </c>
      <c r="F95" s="150">
        <f ca="1">'106 (6)'!F95+'106 (12)'!F95</f>
        <v>0</v>
      </c>
      <c r="G95" s="150">
        <f ca="1">'106 (6)'!G95+'106 (12)'!G95</f>
        <v>0</v>
      </c>
      <c r="H95" s="150">
        <f ca="1">'106 (6)'!H95+'106 (12)'!H95</f>
        <v>0</v>
      </c>
      <c r="I95" s="150">
        <f ca="1">'106 (6)'!I95+'106 (12)'!I95</f>
        <v>0</v>
      </c>
      <c r="J95" s="150">
        <f ca="1">'106 (6)'!J95+'106 (12)'!J95</f>
        <v>0</v>
      </c>
      <c r="K95" s="150">
        <f ca="1">'106 (6)'!K95+'106 (12)'!K95</f>
        <v>0</v>
      </c>
      <c r="L95" s="150">
        <f ca="1">'106 (6)'!L95+'106 (12)'!L95</f>
        <v>0</v>
      </c>
      <c r="M95" s="150">
        <f ca="1">'106 (6)'!M95+'106 (12)'!M95</f>
        <v>0</v>
      </c>
      <c r="N95" s="150">
        <f ca="1">'106 (6)'!N95+'106 (12)'!N95</f>
        <v>0</v>
      </c>
      <c r="O95" s="150">
        <f ca="1">'106 (6)'!O95+'106 (12)'!O95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0.33333333333333331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150">
        <f ca="1">'106 (6)'!D97+'106 (12)'!D97</f>
        <v>26</v>
      </c>
      <c r="E97" s="150">
        <f ca="1">'106 (6)'!E97+'106 (12)'!E97</f>
        <v>0</v>
      </c>
      <c r="F97" s="150">
        <f ca="1">'106 (6)'!F97+'106 (12)'!F97</f>
        <v>0</v>
      </c>
      <c r="G97" s="150">
        <f ca="1">'106 (6)'!G97+'106 (12)'!G97</f>
        <v>0</v>
      </c>
      <c r="H97" s="150">
        <f ca="1">'106 (6)'!H97+'106 (12)'!H97</f>
        <v>0</v>
      </c>
      <c r="I97" s="150">
        <f ca="1">'106 (6)'!I97+'106 (12)'!I97</f>
        <v>0</v>
      </c>
      <c r="J97" s="150">
        <f ca="1">'106 (6)'!J97+'106 (12)'!J97</f>
        <v>0</v>
      </c>
      <c r="K97" s="150">
        <f ca="1">'106 (6)'!K97+'106 (12)'!K97</f>
        <v>0</v>
      </c>
      <c r="L97" s="150">
        <f ca="1">'106 (6)'!L97+'106 (12)'!L97</f>
        <v>0</v>
      </c>
      <c r="M97" s="150">
        <f ca="1">'106 (6)'!M97+'106 (12)'!M97</f>
        <v>0</v>
      </c>
      <c r="N97" s="150">
        <f ca="1">'106 (6)'!N97+'106 (12)'!N97</f>
        <v>0</v>
      </c>
      <c r="O97" s="150">
        <f ca="1">'106 (6)'!O97+'106 (12)'!O97</f>
        <v>0</v>
      </c>
    </row>
    <row r="98" spans="1:15">
      <c r="A98" s="91" t="s">
        <v>372</v>
      </c>
      <c r="B98" s="92"/>
      <c r="C98" s="92"/>
      <c r="D98" s="150">
        <f ca="1">'106 (6)'!D98+'106 (12)'!D98</f>
        <v>96</v>
      </c>
      <c r="E98" s="150">
        <f ca="1">'106 (6)'!E98+'106 (12)'!E98</f>
        <v>0</v>
      </c>
      <c r="F98" s="150">
        <f ca="1">'106 (6)'!F98+'106 (12)'!F98</f>
        <v>0</v>
      </c>
      <c r="G98" s="150">
        <f ca="1">'106 (6)'!G98+'106 (12)'!G98</f>
        <v>0</v>
      </c>
      <c r="H98" s="150">
        <f ca="1">'106 (6)'!H98+'106 (12)'!H98</f>
        <v>0</v>
      </c>
      <c r="I98" s="150">
        <f ca="1">'106 (6)'!I98+'106 (12)'!I98</f>
        <v>0</v>
      </c>
      <c r="J98" s="150">
        <f ca="1">'106 (6)'!J98+'106 (12)'!J98</f>
        <v>0</v>
      </c>
      <c r="K98" s="150">
        <f ca="1">'106 (6)'!K98+'106 (12)'!K98</f>
        <v>0</v>
      </c>
      <c r="L98" s="150">
        <f ca="1">'106 (6)'!L98+'106 (12)'!L98</f>
        <v>0</v>
      </c>
      <c r="M98" s="150">
        <f ca="1">'106 (6)'!M98+'106 (12)'!M98</f>
        <v>0</v>
      </c>
      <c r="N98" s="150">
        <f ca="1">'106 (6)'!N98+'106 (12)'!N98</f>
        <v>0</v>
      </c>
      <c r="O98" s="150">
        <f ca="1">'106 (6)'!O98+'106 (12)'!O98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0.21311475409836064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150">
        <f ca="1">'106 (6)'!D100+'106 (12)'!D100</f>
        <v>37</v>
      </c>
      <c r="E100" s="150">
        <f ca="1">'106 (6)'!E100+'106 (12)'!E100</f>
        <v>0</v>
      </c>
      <c r="F100" s="150">
        <f ca="1">'106 (6)'!F100+'106 (12)'!F100</f>
        <v>0</v>
      </c>
      <c r="G100" s="150">
        <f ca="1">'106 (6)'!G100+'106 (12)'!G100</f>
        <v>0</v>
      </c>
      <c r="H100" s="150">
        <f ca="1">'106 (6)'!H100+'106 (12)'!H100</f>
        <v>0</v>
      </c>
      <c r="I100" s="150">
        <f ca="1">'106 (6)'!I100+'106 (12)'!I100</f>
        <v>0</v>
      </c>
      <c r="J100" s="150">
        <f ca="1">'106 (6)'!J100+'106 (12)'!J100</f>
        <v>0</v>
      </c>
      <c r="K100" s="150">
        <f ca="1">'106 (6)'!K100+'106 (12)'!K100</f>
        <v>0</v>
      </c>
      <c r="L100" s="150">
        <f ca="1">'106 (6)'!L100+'106 (12)'!L100</f>
        <v>0</v>
      </c>
      <c r="M100" s="150">
        <f ca="1">'106 (6)'!M100+'106 (12)'!M100</f>
        <v>0</v>
      </c>
      <c r="N100" s="150">
        <f ca="1">'106 (6)'!N100+'106 (12)'!N100</f>
        <v>0</v>
      </c>
      <c r="O100" s="150">
        <f ca="1">'106 (6)'!O100+'106 (12)'!O100</f>
        <v>0</v>
      </c>
    </row>
    <row r="101" spans="1:15">
      <c r="A101" s="100" t="s">
        <v>372</v>
      </c>
      <c r="B101" s="97"/>
      <c r="C101" s="97"/>
      <c r="D101" s="150">
        <f ca="1">'106 (6)'!D101+'106 (12)'!D101</f>
        <v>80</v>
      </c>
      <c r="E101" s="150">
        <f ca="1">'106 (6)'!E101+'106 (12)'!E101</f>
        <v>0</v>
      </c>
      <c r="F101" s="150">
        <f ca="1">'106 (6)'!F101+'106 (12)'!F101</f>
        <v>0</v>
      </c>
      <c r="G101" s="150">
        <f ca="1">'106 (6)'!G101+'106 (12)'!G101</f>
        <v>0</v>
      </c>
      <c r="H101" s="150">
        <f ca="1">'106 (6)'!H101+'106 (12)'!H101</f>
        <v>0</v>
      </c>
      <c r="I101" s="150">
        <f ca="1">'106 (6)'!I101+'106 (12)'!I101</f>
        <v>0</v>
      </c>
      <c r="J101" s="150">
        <f ca="1">'106 (6)'!J101+'106 (12)'!J101</f>
        <v>0</v>
      </c>
      <c r="K101" s="150">
        <f ca="1">'106 (6)'!K101+'106 (12)'!K101</f>
        <v>0</v>
      </c>
      <c r="L101" s="150">
        <f ca="1">'106 (6)'!L101+'106 (12)'!L101</f>
        <v>0</v>
      </c>
      <c r="M101" s="150">
        <f ca="1">'106 (6)'!M101+'106 (12)'!M101</f>
        <v>0</v>
      </c>
      <c r="N101" s="150">
        <f ca="1">'106 (6)'!N101+'106 (12)'!N101</f>
        <v>0</v>
      </c>
      <c r="O101" s="150">
        <f ca="1">'106 (6)'!O101+'106 (12)'!O101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0.31623931623931623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150">
        <f ca="1">'106 (6)'!D103+'106 (12)'!D103</f>
        <v>6</v>
      </c>
      <c r="E103" s="150">
        <f ca="1">'106 (6)'!E103+'106 (12)'!E103</f>
        <v>0</v>
      </c>
      <c r="F103" s="150">
        <f ca="1">'106 (6)'!F103+'106 (12)'!F103</f>
        <v>0</v>
      </c>
      <c r="G103" s="150">
        <f ca="1">'106 (6)'!G103+'106 (12)'!G103</f>
        <v>0</v>
      </c>
      <c r="H103" s="150">
        <f ca="1">'106 (6)'!H103+'106 (12)'!H103</f>
        <v>0</v>
      </c>
      <c r="I103" s="150">
        <f ca="1">'106 (6)'!I103+'106 (12)'!I103</f>
        <v>0</v>
      </c>
      <c r="J103" s="150">
        <f ca="1">'106 (6)'!J103+'106 (12)'!J103</f>
        <v>0</v>
      </c>
      <c r="K103" s="150">
        <f ca="1">'106 (6)'!K103+'106 (12)'!K103</f>
        <v>0</v>
      </c>
      <c r="L103" s="150">
        <f ca="1">'106 (6)'!L103+'106 (12)'!L103</f>
        <v>0</v>
      </c>
      <c r="M103" s="150">
        <f ca="1">'106 (6)'!M103+'106 (12)'!M103</f>
        <v>0</v>
      </c>
      <c r="N103" s="150">
        <f ca="1">'106 (6)'!N103+'106 (12)'!N103</f>
        <v>0</v>
      </c>
      <c r="O103" s="150">
        <f ca="1">'106 (6)'!O103+'106 (12)'!O103</f>
        <v>0</v>
      </c>
    </row>
    <row r="104" spans="1:15">
      <c r="A104" s="91" t="s">
        <v>372</v>
      </c>
      <c r="B104" s="92"/>
      <c r="C104" s="92"/>
      <c r="D104" s="150">
        <f ca="1">'106 (6)'!D104+'106 (12)'!D104</f>
        <v>18</v>
      </c>
      <c r="E104" s="150">
        <f ca="1">'106 (6)'!E104+'106 (12)'!E104</f>
        <v>0</v>
      </c>
      <c r="F104" s="150">
        <f ca="1">'106 (6)'!F104+'106 (12)'!F104</f>
        <v>0</v>
      </c>
      <c r="G104" s="150">
        <f ca="1">'106 (6)'!G104+'106 (12)'!G104</f>
        <v>0</v>
      </c>
      <c r="H104" s="150">
        <f ca="1">'106 (6)'!H104+'106 (12)'!H104</f>
        <v>0</v>
      </c>
      <c r="I104" s="150">
        <f ca="1">'106 (6)'!I104+'106 (12)'!I104</f>
        <v>0</v>
      </c>
      <c r="J104" s="150">
        <f ca="1">'106 (6)'!J104+'106 (12)'!J104</f>
        <v>0</v>
      </c>
      <c r="K104" s="150">
        <f ca="1">'106 (6)'!K104+'106 (12)'!K104</f>
        <v>0</v>
      </c>
      <c r="L104" s="150">
        <f ca="1">'106 (6)'!L104+'106 (12)'!L104</f>
        <v>0</v>
      </c>
      <c r="M104" s="150">
        <f ca="1">'106 (6)'!M104+'106 (12)'!M104</f>
        <v>0</v>
      </c>
      <c r="N104" s="150">
        <f ca="1">'106 (6)'!N104+'106 (12)'!N104</f>
        <v>0</v>
      </c>
      <c r="O104" s="150">
        <f ca="1">'106 (6)'!O104+'106 (12)'!O104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0.25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150">
        <f ca="1">'106 (6)'!D106+'106 (12)'!D106</f>
        <v>7</v>
      </c>
      <c r="E106" s="150">
        <f ca="1">'106 (6)'!E106+'106 (12)'!E106</f>
        <v>0</v>
      </c>
      <c r="F106" s="150">
        <f ca="1">'106 (6)'!F106+'106 (12)'!F106</f>
        <v>0</v>
      </c>
      <c r="G106" s="150">
        <f ca="1">'106 (6)'!G106+'106 (12)'!G106</f>
        <v>0</v>
      </c>
      <c r="H106" s="150">
        <f ca="1">'106 (6)'!H106+'106 (12)'!H106</f>
        <v>0</v>
      </c>
      <c r="I106" s="150">
        <f ca="1">'106 (6)'!I106+'106 (12)'!I106</f>
        <v>0</v>
      </c>
      <c r="J106" s="150">
        <f ca="1">'106 (6)'!J106+'106 (12)'!J106</f>
        <v>0</v>
      </c>
      <c r="K106" s="150">
        <f ca="1">'106 (6)'!K106+'106 (12)'!K106</f>
        <v>0</v>
      </c>
      <c r="L106" s="150">
        <f ca="1">'106 (6)'!L106+'106 (12)'!L106</f>
        <v>0</v>
      </c>
      <c r="M106" s="150">
        <f ca="1">'106 (6)'!M106+'106 (12)'!M106</f>
        <v>0</v>
      </c>
      <c r="N106" s="150">
        <f ca="1">'106 (6)'!N106+'106 (12)'!N106</f>
        <v>0</v>
      </c>
      <c r="O106" s="150">
        <f ca="1">'106 (6)'!O106+'106 (12)'!O106</f>
        <v>0</v>
      </c>
    </row>
    <row r="107" spans="1:15">
      <c r="A107" s="100" t="s">
        <v>372</v>
      </c>
      <c r="B107" s="97"/>
      <c r="C107" s="97"/>
      <c r="D107" s="150">
        <f ca="1">'106 (6)'!D107+'106 (12)'!D107</f>
        <v>21</v>
      </c>
      <c r="E107" s="150">
        <f ca="1">'106 (6)'!E107+'106 (12)'!E107</f>
        <v>0</v>
      </c>
      <c r="F107" s="150">
        <f ca="1">'106 (6)'!F107+'106 (12)'!F107</f>
        <v>0</v>
      </c>
      <c r="G107" s="150">
        <f ca="1">'106 (6)'!G107+'106 (12)'!G107</f>
        <v>0</v>
      </c>
      <c r="H107" s="150">
        <f ca="1">'106 (6)'!H107+'106 (12)'!H107</f>
        <v>0</v>
      </c>
      <c r="I107" s="150">
        <f ca="1">'106 (6)'!I107+'106 (12)'!I107</f>
        <v>0</v>
      </c>
      <c r="J107" s="150">
        <f ca="1">'106 (6)'!J107+'106 (12)'!J107</f>
        <v>0</v>
      </c>
      <c r="K107" s="150">
        <f ca="1">'106 (6)'!K107+'106 (12)'!K107</f>
        <v>0</v>
      </c>
      <c r="L107" s="150">
        <f ca="1">'106 (6)'!L107+'106 (12)'!L107</f>
        <v>0</v>
      </c>
      <c r="M107" s="150">
        <f ca="1">'106 (6)'!M107+'106 (12)'!M107</f>
        <v>0</v>
      </c>
      <c r="N107" s="150">
        <f ca="1">'106 (6)'!N107+'106 (12)'!N107</f>
        <v>0</v>
      </c>
      <c r="O107" s="150">
        <f ca="1">'106 (6)'!O107+'106 (12)'!O107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389</v>
      </c>
      <c r="D1" s="2">
        <v>72</v>
      </c>
    </row>
    <row r="2" spans="1:15">
      <c r="D2" s="2">
        <v>73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182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164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34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34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85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2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90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84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2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9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28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20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59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61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7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9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5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51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84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68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48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28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18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90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0.45685279187817257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84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90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0.48275862068965519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28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18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0.60869565217391308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18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0.62068965517241381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4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3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2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3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3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0.4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24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76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26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62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0.29545454545454547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5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9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0.35714285714285715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5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0.3125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388</v>
      </c>
      <c r="D1" s="2">
        <v>90</v>
      </c>
    </row>
    <row r="2" spans="1:15">
      <c r="D2" s="2">
        <v>91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58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46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13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8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28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19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2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21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23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9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13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1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17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18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8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21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0.36206896551724138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23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36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0.38983050847457629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8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8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3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9.0909090909090912E-2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18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0.37931034482758619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9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2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0.16666666666666666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387</v>
      </c>
      <c r="D1" s="2">
        <v>75</v>
      </c>
    </row>
    <row r="2" spans="1:15">
      <c r="D2" s="2">
        <v>76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108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129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16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19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51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54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7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1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6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36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11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23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5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1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20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20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47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31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29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5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6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36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79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0.31304347826086959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54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0.46534653465346537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5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12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0.29411764705882354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6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0.4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10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46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0.17857142857142858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28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5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16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0.23809523809523808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4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14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0.22222222222222221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399</v>
      </c>
      <c r="D1" s="2">
        <v>93</v>
      </c>
    </row>
    <row r="2" spans="1:15">
      <c r="D2" s="2">
        <v>94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64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60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20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10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23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15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14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18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10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7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2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6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2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9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29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7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6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14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39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0.26415094339622641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18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29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0.38297872340425532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7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8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0.46666666666666667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14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0.22222222222222221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0.1111111111111111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0.2857142857142857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4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4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0.44444444444444442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76</v>
      </c>
      <c r="D1" s="2">
        <v>198</v>
      </c>
      <c r="K1" s="2">
        <v>198</v>
      </c>
    </row>
    <row r="2" spans="1:15">
      <c r="D2" s="2">
        <f>D1+1</f>
        <v>199</v>
      </c>
      <c r="K2" s="2">
        <v>199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21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INDIRECT("'"&amp;J3&amp;"'!G"&amp;K1&amp;"")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38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INDIRECT("'"&amp;J3&amp;"'!G"&amp;K2&amp;"")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INDIRECT("'"&amp;J3&amp;"'!O"&amp;K1&amp;"")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INDIRECT("'"&amp;J3&amp;"'!o"&amp;K2&amp;"")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INDIRECT("'"&amp;J3&amp;"'!bp"&amp;K1&amp;"")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INDIRECT("'"&amp;J3&amp;"'!bp"&amp;K2&amp;"")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INDIRECT("'"&amp;J3&amp;"'!bx"&amp;K1&amp;"")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INDIRECT("'"&amp;J3&amp;"'!bx"&amp;K2&amp;"")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INDIRECT("'"&amp;J3&amp;"'!cb"&amp;K1&amp;"")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INDIRECT("'"&amp;J3&amp;"'!cb"&amp;K2&amp;"")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INDIRECT("'"&amp;J3&amp;"'!bt"&amp;K1&amp;"")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INDIRECT("'"&amp;J3&amp;"'!bt"&amp;K2&amp;"")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INDIRECT("'"&amp;J3&amp;"'!cu"&amp;K1&amp;"")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10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INDIRECT("'"&amp;J3&amp;"'!cu"&amp;K2&amp;"")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INDIRECT("'"&amp;J3&amp;"'!cy"&amp;K1&amp;"")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INDIRECT("'"&amp;J3&amp;"'!cy"&amp;K2&amp;"")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INDIRECT("'"&amp;J3&amp;"'!cj"&amp;K1&amp;"")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INDIRECT("'"&amp;J3&amp;"'!cj"&amp;K2&amp;"")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INDIRECT("'"&amp;J3&amp;"'!cf"&amp;K1&amp;"")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INDIRECT("'"&amp;J3&amp;"'!cf"&amp;K2&amp;"")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INDIRECT("'"&amp;J3&amp;"'!cn"&amp;K1&amp;"")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INDIRECT("'"&amp;J3&amp;"'!cn"&amp;K2&amp;"")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INDIRECT("'"&amp;J3&amp;"'!dc"&amp;K1&amp;"")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INDIRECT("'"&amp;J3&amp;"'!dc"&amp;K2&amp;"")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INDIRECT("'"&amp;J3&amp;"'!av"&amp;K1&amp;"")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6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INDIRECT("'"&amp;J3&amp;"'!av"&amp;K2&amp;"")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INDIRECT("'"&amp;J3&amp;"'!cq"&amp;K1&amp;"")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INDIRECT("'"&amp;J3&amp;"'!cq"&amp;K2&amp;"")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INDIRECT("'"&amp;J3&amp;"'!eo"&amp;K1&amp;"")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INDIRECT("'"&amp;J3&amp;"'!eo"&amp;K2&amp;"")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INDIRECT("'"&amp;J3&amp;"'!dr"&amp;K1&amp;"")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INDIRECT("'"&amp;J3&amp;"'!dr"&amp;K2&amp;"")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INDIRECT("'"&amp;J3&amp;"'!i"&amp;K1&amp;"")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16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INDIRECT("'"&amp;J3&amp;"'!i"&amp;K2&amp;"")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INDIRECT("'"&amp;J3&amp;"'!ax"&amp;K1&amp;"")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INDIRECT("'"&amp;J3&amp;"'!ax"&amp;K2&amp;"")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INDIRECT("'"&amp;J3&amp;"'!bd"&amp;K1&amp;"")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8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INDIRECT("'"&amp;J3&amp;"'!bd"&amp;K2&amp;"")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INDIRECT("'"&amp;J3&amp;"'!bg"&amp;K1&amp;"")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8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INDIRECT("'"&amp;J3&amp;"'!bg"&amp;K2&amp;"")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INDIRECT("'"&amp;J3&amp;"'!bj"&amp;K1&amp;"")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2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INDIRECT("'"&amp;J3&amp;"'!bj"&amp;K2&amp;"")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INDIRECT("'"&amp;J3&amp;"'!bo"&amp;K1&amp;"")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INDIRECT("'"&amp;J3&amp;"'!bo"&amp;K2&amp;"")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INDIRECT("'"&amp;J3&amp;"'!ba"&amp;K1&amp;"")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14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INDIRECT("'"&amp;J3&amp;"'!ba"&amp;K2&amp;"")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INDIRECT("'"&amp;J3&amp;"'!an"&amp;K1&amp;"")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INDIRECT("'"&amp;J3&amp;"'!an"&amp;K2&amp;"")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INDIRECT("'"&amp;J3&amp;"'!as"&amp;K1&amp;"")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INDIRECT("'"&amp;J3&amp;"'!as"&amp;K2&amp;"")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INDIRECT("'"&amp;J3&amp;"'!al"&amp;K1&amp;"")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INDIRECT("'"&amp;J3&amp;"'!al"&amp;K2&amp;"")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INDIRECT("'"&amp;J3&amp;"'!q"&amp;K1&amp;"")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7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INDIRECT("'"&amp;J3&amp;"'!q"&amp;K2&amp;"")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INDIRECT("'"&amp;J3&amp;"'!dx"&amp;K1&amp;"")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INDIRECT("'"&amp;J3&amp;"'!dx"&amp;K2&amp;"")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INDIRECT("'"&amp;J3&amp;"'!i"&amp;K1&amp;"")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INDIRECT("'"&amp;J3&amp;"'!k"&amp;K1&amp;"")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0.61538461538461542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16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INDIRECT("'"&amp;J3&amp;"'!i"&amp;K2&amp;"")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INDIRECT("'"&amp;J3&amp;"'!k"&amp;K2&amp;"")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0.69565217391304346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INDIRECT("'"&amp;J3&amp;"'!q"&amp;K1&amp;"")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INDIRECT("'"&amp;J3&amp;"'!s"&amp;K1&amp;"")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7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INDIRECT("'"&amp;J3&amp;"'!q"&amp;K2&amp;"")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4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INDIRECT("'"&amp;J3&amp;"'!s"&amp;K2&amp;"")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0.63636363636363635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INDIRECT("'"&amp;J3&amp;"'!bq"&amp;K1&amp;"")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INDIRECT("'"&amp;J3&amp;"'!br"&amp;K1&amp;"")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INDIRECT("'"&amp;J3&amp;"'!bq"&amp;K2&amp;"")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INDIRECT("'"&amp;J3&amp;"'!br"&amp;K2&amp;"")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INDIRECT("'"&amp;J3&amp;"'!by"&amp;K1&amp;"")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INDIRECT("'"&amp;J3&amp;"'!bz"&amp;K1&amp;"")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INDIRECT("'"&amp;J3&amp;"'!by"&amp;K2&amp;"")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INDIRECT("'"&amp;J3&amp;"'!bz"&amp;K2&amp;"")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INDIRECT("'"&amp;J3&amp;"'!cg"&amp;K1&amp;"")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INDIRECT("'"&amp;J3&amp;"'!ch"&amp;K1&amp;"")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INDIRECT("'"&amp;J3&amp;"'!cg"&amp;K2&amp;"")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INDIRECT("'"&amp;J3&amp;"'!ch"&amp;K2&amp;"")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INDIRECT("'"&amp;J3&amp;"'!ck"&amp;K1&amp;"")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INDIRECT("'"&amp;J3&amp;"'!cl"&amp;K1&amp;"")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INDIRECT("'"&amp;J3&amp;"'!ck"&amp;K2&amp;"")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INDIRECT("'"&amp;J3&amp;"'!cl"&amp;K2&amp;"")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INDIRECT("'"&amp;J3&amp;"'!cv"&amp;K1&amp;"")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INDIRECT("'"&amp;J3&amp;"'!cw"&amp;K1&amp;"")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0.55555555555555558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INDIRECT("'"&amp;J3&amp;"'!cv"&amp;K2&amp;"")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INDIRECT("'"&amp;J3&amp;"'!cw"&amp;K2&amp;"")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INDIRECT("'"&amp;J3&amp;"'!dg"&amp;K1&amp;"")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INDIRECT("'"&amp;J3&amp;"'!dh"&amp;K1&amp;"")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INDIRECT("'"&amp;J3&amp;"'!dg"&amp;K2&amp;"")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INDIRECT("'"&amp;J3&amp;"'!dh"&amp;K2&amp;"")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77</v>
      </c>
      <c r="D1" s="2">
        <v>102</v>
      </c>
    </row>
    <row r="2" spans="1:15">
      <c r="D2" s="2">
        <f>D1+1</f>
        <v>103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137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166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26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6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9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3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3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49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66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4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3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8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9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4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9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75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88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5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27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56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61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43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54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41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47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27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18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6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75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68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0.52447552447552448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88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0.59060402684563762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8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0.57894736842105265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18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12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0.66666666666666663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24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44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0.35294117647058826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25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33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0.43103448275862066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3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0.23076923076923078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7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9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0.4375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78</v>
      </c>
      <c r="D1" s="2">
        <v>9</v>
      </c>
    </row>
    <row r="2" spans="1:15">
      <c r="D2" s="2">
        <v>10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23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8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14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9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10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4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11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7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14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8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0.63636363636363635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0.73913043478260865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0.42857142857142855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C64"/>
  <sheetViews>
    <sheetView view="pageBreakPreview" zoomScaleSheetLayoutView="100" workbookViewId="0">
      <selection activeCell="C6" sqref="C6"/>
    </sheetView>
  </sheetViews>
  <sheetFormatPr defaultRowHeight="15"/>
  <cols>
    <col min="1" max="1" width="26.85546875" bestFit="1" customWidth="1"/>
    <col min="2" max="2" width="4" bestFit="1" customWidth="1"/>
    <col min="3" max="3" width="5.7109375" style="1" bestFit="1" customWidth="1"/>
    <col min="4" max="6" width="5.7109375" style="1" hidden="1" customWidth="1"/>
    <col min="7" max="7" width="5.7109375" bestFit="1" customWidth="1"/>
    <col min="8" max="8" width="6" style="1" bestFit="1" customWidth="1"/>
    <col min="9" max="9" width="8.7109375" bestFit="1" customWidth="1"/>
    <col min="10" max="11" width="8.28515625" bestFit="1" customWidth="1"/>
    <col min="12" max="12" width="5.7109375" style="178" bestFit="1" customWidth="1"/>
    <col min="13" max="13" width="8.28515625" style="178" bestFit="1" customWidth="1"/>
    <col min="14" max="14" width="8.28515625" bestFit="1" customWidth="1"/>
    <col min="15" max="15" width="5" bestFit="1" customWidth="1"/>
    <col min="16" max="17" width="8.28515625" bestFit="1" customWidth="1"/>
    <col min="18" max="18" width="5.7109375" bestFit="1" customWidth="1"/>
    <col min="19" max="20" width="8.28515625" bestFit="1" customWidth="1"/>
    <col min="21" max="21" width="5.7109375" bestFit="1" customWidth="1"/>
    <col min="22" max="23" width="8.28515625" bestFit="1" customWidth="1"/>
    <col min="24" max="24" width="5" bestFit="1" customWidth="1"/>
    <col min="25" max="26" width="8.28515625" bestFit="1" customWidth="1"/>
    <col min="27" max="27" width="5.7109375" bestFit="1" customWidth="1"/>
    <col min="28" max="28" width="8.28515625" bestFit="1" customWidth="1"/>
    <col min="29" max="29" width="7.42578125" bestFit="1" customWidth="1"/>
  </cols>
  <sheetData>
    <row r="1" spans="1:29">
      <c r="I1" s="67" t="s">
        <v>18</v>
      </c>
      <c r="J1" s="21" t="str">
        <f>VLOOKUP(I1,Справочник!E1:F12,2,FALSE)</f>
        <v>01</v>
      </c>
      <c r="K1" s="38" t="str">
        <f>VLOOKUP(I1,Справочник!E1:G12,3,FALSE)</f>
        <v>d</v>
      </c>
    </row>
    <row r="4" spans="1:29" ht="15.75" thickBot="1"/>
    <row r="5" spans="1:29" ht="114" customHeight="1">
      <c r="A5" s="12"/>
      <c r="B5" s="203" t="s">
        <v>596</v>
      </c>
      <c r="C5" s="206" t="s">
        <v>155</v>
      </c>
      <c r="D5" s="208" t="s">
        <v>268</v>
      </c>
      <c r="E5" s="208"/>
      <c r="F5" s="208" t="s">
        <v>597</v>
      </c>
      <c r="G5" s="207" t="s">
        <v>355</v>
      </c>
      <c r="H5" s="208" t="s">
        <v>597</v>
      </c>
      <c r="I5" s="205" t="s">
        <v>587</v>
      </c>
      <c r="J5" s="200" t="s">
        <v>588</v>
      </c>
      <c r="K5" s="201" t="s">
        <v>589</v>
      </c>
      <c r="L5" s="200" t="s">
        <v>590</v>
      </c>
      <c r="M5" s="200" t="s">
        <v>588</v>
      </c>
      <c r="N5" s="201" t="s">
        <v>589</v>
      </c>
      <c r="O5" s="200" t="s">
        <v>591</v>
      </c>
      <c r="P5" s="200" t="s">
        <v>588</v>
      </c>
      <c r="Q5" s="201" t="s">
        <v>589</v>
      </c>
      <c r="R5" s="202" t="s">
        <v>592</v>
      </c>
      <c r="S5" s="200" t="s">
        <v>588</v>
      </c>
      <c r="T5" s="201" t="s">
        <v>589</v>
      </c>
      <c r="U5" s="200" t="s">
        <v>593</v>
      </c>
      <c r="V5" s="200" t="s">
        <v>594</v>
      </c>
      <c r="W5" s="201" t="s">
        <v>589</v>
      </c>
      <c r="X5" s="200" t="s">
        <v>528</v>
      </c>
      <c r="Y5" s="200" t="s">
        <v>594</v>
      </c>
      <c r="Z5" s="201" t="s">
        <v>589</v>
      </c>
      <c r="AA5" s="200" t="s">
        <v>595</v>
      </c>
      <c r="AB5" s="200" t="s">
        <v>594</v>
      </c>
      <c r="AC5" s="201" t="s">
        <v>589</v>
      </c>
    </row>
    <row r="6" spans="1:29">
      <c r="A6" s="4" t="s">
        <v>68</v>
      </c>
      <c r="B6" s="204">
        <v>101</v>
      </c>
      <c r="C6" s="5">
        <f ca="1">INDIRECT("'"&amp;B6&amp;"'!"&amp;K1&amp;"5")</f>
        <v>172</v>
      </c>
      <c r="D6" s="5">
        <f ca="1">INDIRECT("'"&amp;B6&amp;"'!"&amp;K1&amp;"4")</f>
        <v>134</v>
      </c>
      <c r="E6" s="5">
        <f ca="1">C6/D6*100-100</f>
        <v>28.358208955223887</v>
      </c>
      <c r="F6" s="5">
        <f ca="1">C6/5</f>
        <v>34.4</v>
      </c>
      <c r="G6" s="5">
        <f ca="1">INDIRECT("'"&amp;B6&amp;"'!"&amp;K1&amp;"37")</f>
        <v>43</v>
      </c>
      <c r="H6" s="5">
        <f ca="1">G6/12</f>
        <v>3.5833333333333335</v>
      </c>
      <c r="I6" s="5">
        <f ca="1">INDIRECT("'"&amp;B6&amp;"'!"&amp;K1&amp;"39")</f>
        <v>2</v>
      </c>
      <c r="J6" s="198">
        <f t="shared" ref="J6:J37" ca="1" si="0">I6/G6*100</f>
        <v>4.6511627906976747</v>
      </c>
      <c r="K6" s="5">
        <f ca="1">RANK(J6,J6:J64,0)</f>
        <v>24</v>
      </c>
      <c r="L6" s="5">
        <f ca="1">INDIRECT("'"&amp;B6&amp;"'!"&amp;K1&amp;"41")</f>
        <v>7</v>
      </c>
      <c r="M6" s="198">
        <f t="shared" ref="M6:M37" ca="1" si="1">L6/G6*100</f>
        <v>16.279069767441861</v>
      </c>
      <c r="N6" s="5">
        <f ca="1">RANK(M6,M6:M64,0)</f>
        <v>57</v>
      </c>
      <c r="O6" s="12">
        <f ca="1">INDIRECT("'"&amp;B6&amp;"'!"&amp;K1&amp;"43")</f>
        <v>25</v>
      </c>
      <c r="P6" s="199">
        <f t="shared" ref="P6:P37" ca="1" si="2">O6/G6*100</f>
        <v>58.139534883720934</v>
      </c>
      <c r="Q6" s="5">
        <f ca="1">RANK(P6,P6:P64,0)</f>
        <v>39</v>
      </c>
      <c r="R6" s="12">
        <f ca="1">INDIRECT("'"&amp;B6&amp;"'!"&amp;K1&amp;"49")</f>
        <v>20</v>
      </c>
      <c r="S6" s="199">
        <f t="shared" ref="S6:S37" ca="1" si="3">R6/G6*100</f>
        <v>46.511627906976742</v>
      </c>
      <c r="T6" s="5">
        <f ca="1">RANK(S6,S6:S64,0)</f>
        <v>46</v>
      </c>
      <c r="U6" s="12">
        <f ca="1">INDIRECT("'"&amp;B6&amp;"'!"&amp;K1&amp;"51")</f>
        <v>67</v>
      </c>
      <c r="V6" s="199">
        <f t="shared" ref="V6:V37" ca="1" si="4">U6/C6*100</f>
        <v>38.953488372093027</v>
      </c>
      <c r="W6" s="5">
        <f ca="1">RANK(V6,V6:V64,0)</f>
        <v>9</v>
      </c>
      <c r="X6" s="12">
        <f ca="1">INDIRECT("'"&amp;B6&amp;"'!"&amp;K1&amp;"53")</f>
        <v>42</v>
      </c>
      <c r="Y6" s="199">
        <f t="shared" ref="Y6:Y37" ca="1" si="5">X6/C6*100</f>
        <v>24.418604651162788</v>
      </c>
      <c r="Z6" s="5">
        <f ca="1">RANK(Y6,Y6:Y64,0)</f>
        <v>8</v>
      </c>
      <c r="AA6" s="12">
        <f ca="1">INDIRECT("'"&amp;B6&amp;"'!"&amp;K1&amp;"55")</f>
        <v>0</v>
      </c>
      <c r="AB6" s="199">
        <f t="shared" ref="AB6:AB37" ca="1" si="6">AA6/C6*100</f>
        <v>0</v>
      </c>
      <c r="AC6" s="5">
        <f ca="1">RANK(AB6,AB6:AB64,0)</f>
        <v>8</v>
      </c>
    </row>
    <row r="7" spans="1:29">
      <c r="A7" s="4" t="s">
        <v>69</v>
      </c>
      <c r="B7" s="204">
        <v>102</v>
      </c>
      <c r="C7" s="5">
        <f ca="1">INDIRECT("'"&amp;B7&amp;"'!"&amp;K1&amp;"5")</f>
        <v>149</v>
      </c>
      <c r="D7" s="5">
        <f ca="1">INDIRECT("'"&amp;B7&amp;"'!"&amp;K1&amp;"4")</f>
        <v>164</v>
      </c>
      <c r="E7" s="5">
        <f t="shared" ref="E7:E64" ca="1" si="7">C7/D7*100-100</f>
        <v>-9.1463414634146289</v>
      </c>
      <c r="F7" s="5">
        <f t="shared" ref="F7:F64" ca="1" si="8">C7/5</f>
        <v>29.8</v>
      </c>
      <c r="G7" s="5">
        <f ca="1">INDIRECT("'"&amp;B7&amp;"'!"&amp;K1&amp;"37")</f>
        <v>85</v>
      </c>
      <c r="H7" s="5">
        <f t="shared" ref="H7:H64" ca="1" si="9">G7/12</f>
        <v>7.083333333333333</v>
      </c>
      <c r="I7" s="5">
        <f ca="1">INDIRECT("'"&amp;B7&amp;"'!"&amp;K1&amp;"39")</f>
        <v>3</v>
      </c>
      <c r="J7" s="198">
        <f t="shared" ca="1" si="0"/>
        <v>3.5294117647058822</v>
      </c>
      <c r="K7" s="5">
        <f ca="1">RANK(J7,J6:J64,0)</f>
        <v>27</v>
      </c>
      <c r="L7" s="5">
        <f ca="1">INDIRECT("'"&amp;B7&amp;"'!"&amp;K1&amp;"41")</f>
        <v>26</v>
      </c>
      <c r="M7" s="198">
        <f t="shared" ca="1" si="1"/>
        <v>30.588235294117649</v>
      </c>
      <c r="N7" s="5">
        <f ca="1">RANK(M7,M6:M64,0)</f>
        <v>40</v>
      </c>
      <c r="O7" s="12">
        <f ca="1">INDIRECT("'"&amp;B7&amp;"'!"&amp;K1&amp;"43")</f>
        <v>52</v>
      </c>
      <c r="P7" s="199">
        <f t="shared" ca="1" si="2"/>
        <v>61.176470588235297</v>
      </c>
      <c r="Q7" s="5">
        <f ca="1">RANK(P7,P6:P64,0)</f>
        <v>32</v>
      </c>
      <c r="R7" s="12">
        <f ca="1">INDIRECT("'"&amp;B7&amp;"'!"&amp;K1&amp;"49")</f>
        <v>49</v>
      </c>
      <c r="S7" s="199">
        <f t="shared" ca="1" si="3"/>
        <v>57.647058823529406</v>
      </c>
      <c r="T7" s="5">
        <f ca="1">RANK(S7,S6:S64,0)</f>
        <v>31</v>
      </c>
      <c r="U7" s="12">
        <f ca="1">INDIRECT("'"&amp;B7&amp;"'!"&amp;K1&amp;"51")</f>
        <v>58</v>
      </c>
      <c r="V7" s="199">
        <f t="shared" ca="1" si="4"/>
        <v>38.926174496644293</v>
      </c>
      <c r="W7" s="5">
        <f ca="1">RANK(V7,V6:V64,0)</f>
        <v>10</v>
      </c>
      <c r="X7" s="12">
        <f ca="1">INDIRECT("'"&amp;B7&amp;"'!"&amp;K1&amp;"53")</f>
        <v>32</v>
      </c>
      <c r="Y7" s="199">
        <f t="shared" ca="1" si="5"/>
        <v>21.476510067114095</v>
      </c>
      <c r="Z7" s="5">
        <f ca="1">RANK(Y7,Y6:Y64,0)</f>
        <v>13</v>
      </c>
      <c r="AA7" s="12">
        <f ca="1">INDIRECT("'"&amp;B7&amp;"'!"&amp;K1&amp;"55")</f>
        <v>0</v>
      </c>
      <c r="AB7" s="199">
        <f t="shared" ca="1" si="6"/>
        <v>0</v>
      </c>
      <c r="AC7" s="5">
        <f ca="1">RANK(AB7,AB6:AB64,0)</f>
        <v>8</v>
      </c>
    </row>
    <row r="8" spans="1:29">
      <c r="A8" s="4" t="s">
        <v>70</v>
      </c>
      <c r="B8" s="204">
        <v>103</v>
      </c>
      <c r="C8" s="5">
        <f ca="1">INDIRECT("'"&amp;B8&amp;"'!"&amp;K1&amp;"5")</f>
        <v>188</v>
      </c>
      <c r="D8" s="5">
        <f ca="1">INDIRECT("'"&amp;B8&amp;"'!"&amp;K1&amp;"4")</f>
        <v>182</v>
      </c>
      <c r="E8" s="5">
        <f t="shared" ca="1" si="7"/>
        <v>3.2967032967033134</v>
      </c>
      <c r="F8" s="5">
        <f t="shared" ca="1" si="8"/>
        <v>37.6</v>
      </c>
      <c r="G8" s="5">
        <f ca="1">INDIRECT("'"&amp;B8&amp;"'!"&amp;K1&amp;"37")</f>
        <v>66</v>
      </c>
      <c r="H8" s="5">
        <f t="shared" ca="1" si="9"/>
        <v>5.5</v>
      </c>
      <c r="I8" s="5">
        <f ca="1">INDIRECT("'"&amp;B8&amp;"'!"&amp;K1&amp;"39")</f>
        <v>5</v>
      </c>
      <c r="J8" s="198">
        <f t="shared" ca="1" si="0"/>
        <v>7.5757575757575761</v>
      </c>
      <c r="K8" s="5">
        <f ca="1">RANK(J8,J6:J64,0)</f>
        <v>13</v>
      </c>
      <c r="L8" s="5">
        <f ca="1">INDIRECT("'"&amp;B8&amp;"'!"&amp;K1&amp;"41")</f>
        <v>26</v>
      </c>
      <c r="M8" s="198">
        <f t="shared" ca="1" si="1"/>
        <v>39.393939393939391</v>
      </c>
      <c r="N8" s="5">
        <f ca="1">RANK(M8,M6:M64,0)</f>
        <v>28</v>
      </c>
      <c r="O8" s="12">
        <f ca="1">INDIRECT("'"&amp;B8&amp;"'!"&amp;K1&amp;"43")</f>
        <v>39</v>
      </c>
      <c r="P8" s="199">
        <f t="shared" ca="1" si="2"/>
        <v>59.090909090909093</v>
      </c>
      <c r="Q8" s="5">
        <f ca="1">RANK(P8,P6:P64,0)</f>
        <v>36</v>
      </c>
      <c r="R8" s="12">
        <f ca="1">INDIRECT("'"&amp;B8&amp;"'!"&amp;K1&amp;"49")</f>
        <v>43</v>
      </c>
      <c r="S8" s="199">
        <f t="shared" ca="1" si="3"/>
        <v>65.151515151515156</v>
      </c>
      <c r="T8" s="5">
        <f ca="1">RANK(S8,S6:S64,0)</f>
        <v>21</v>
      </c>
      <c r="U8" s="12">
        <f ca="1">INDIRECT("'"&amp;B8&amp;"'!"&amp;K1&amp;"51")</f>
        <v>76</v>
      </c>
      <c r="V8" s="199">
        <f t="shared" ca="1" si="4"/>
        <v>40.425531914893611</v>
      </c>
      <c r="W8" s="5">
        <f ca="1">RANK(V8,V6:V64,0)</f>
        <v>6</v>
      </c>
      <c r="X8" s="12">
        <f ca="1">INDIRECT("'"&amp;B8&amp;"'!"&amp;K1&amp;"53")</f>
        <v>40</v>
      </c>
      <c r="Y8" s="199">
        <f t="shared" ca="1" si="5"/>
        <v>21.276595744680851</v>
      </c>
      <c r="Z8" s="5">
        <f ca="1">RANK(Y8,Y6:Y64,0)</f>
        <v>14</v>
      </c>
      <c r="AA8" s="12">
        <f ca="1">INDIRECT("'"&amp;B8&amp;"'!"&amp;K1&amp;"55")</f>
        <v>0</v>
      </c>
      <c r="AB8" s="199">
        <f t="shared" ca="1" si="6"/>
        <v>0</v>
      </c>
      <c r="AC8" s="5">
        <f ca="1">RANK(AB8,AB6:AB64,0)</f>
        <v>8</v>
      </c>
    </row>
    <row r="9" spans="1:29">
      <c r="A9" s="4" t="s">
        <v>71</v>
      </c>
      <c r="B9" s="204">
        <v>104</v>
      </c>
      <c r="C9" s="5">
        <f ca="1">INDIRECT("'"&amp;B9&amp;"'!"&amp;K1&amp;"5")</f>
        <v>242</v>
      </c>
      <c r="D9" s="5">
        <f ca="1">INDIRECT("'"&amp;B9&amp;"'!"&amp;K1&amp;"4")</f>
        <v>216</v>
      </c>
      <c r="E9" s="5">
        <f t="shared" ca="1" si="7"/>
        <v>12.037037037037052</v>
      </c>
      <c r="F9" s="5">
        <f t="shared" ca="1" si="8"/>
        <v>48.4</v>
      </c>
      <c r="G9" s="5">
        <f ca="1">INDIRECT("'"&amp;B9&amp;"'!"&amp;K1&amp;"37")</f>
        <v>69</v>
      </c>
      <c r="H9" s="5">
        <f t="shared" ca="1" si="9"/>
        <v>5.75</v>
      </c>
      <c r="I9" s="5">
        <f ca="1">INDIRECT("'"&amp;B9&amp;"'!"&amp;K1&amp;"39")</f>
        <v>4</v>
      </c>
      <c r="J9" s="198">
        <f t="shared" ca="1" si="0"/>
        <v>5.7971014492753623</v>
      </c>
      <c r="K9" s="5">
        <f ca="1">RANK(J9,J6:J64,0)</f>
        <v>17</v>
      </c>
      <c r="L9" s="5">
        <f ca="1">INDIRECT("'"&amp;B9&amp;"'!"&amp;K1&amp;"41")</f>
        <v>23</v>
      </c>
      <c r="M9" s="198">
        <f t="shared" ca="1" si="1"/>
        <v>33.333333333333329</v>
      </c>
      <c r="N9" s="5">
        <f ca="1">RANK(M9,M6:M64,0)</f>
        <v>36</v>
      </c>
      <c r="O9" s="12">
        <f ca="1">INDIRECT("'"&amp;B9&amp;"'!"&amp;K1&amp;"43")</f>
        <v>38</v>
      </c>
      <c r="P9" s="199">
        <f t="shared" ca="1" si="2"/>
        <v>55.072463768115945</v>
      </c>
      <c r="Q9" s="5">
        <f ca="1">RANK(P9,P6:P64,0)</f>
        <v>43</v>
      </c>
      <c r="R9" s="12">
        <f ca="1">INDIRECT("'"&amp;B9&amp;"'!"&amp;K1&amp;"49")</f>
        <v>38</v>
      </c>
      <c r="S9" s="199">
        <f t="shared" ca="1" si="3"/>
        <v>55.072463768115945</v>
      </c>
      <c r="T9" s="5">
        <f ca="1">RANK(S9,S6:S64,0)</f>
        <v>32</v>
      </c>
      <c r="U9" s="12">
        <f ca="1">INDIRECT("'"&amp;B9&amp;"'!"&amp;K1&amp;"51")</f>
        <v>110</v>
      </c>
      <c r="V9" s="199">
        <f t="shared" ca="1" si="4"/>
        <v>45.454545454545453</v>
      </c>
      <c r="W9" s="5">
        <f ca="1">RANK(V9,V6:V64,0)</f>
        <v>3</v>
      </c>
      <c r="X9" s="12">
        <f ca="1">INDIRECT("'"&amp;B9&amp;"'!"&amp;K1&amp;"53")</f>
        <v>69</v>
      </c>
      <c r="Y9" s="199">
        <f t="shared" ca="1" si="5"/>
        <v>28.512396694214875</v>
      </c>
      <c r="Z9" s="5">
        <f ca="1">RANK(Y9,Y6:Y64,0)</f>
        <v>4</v>
      </c>
      <c r="AA9" s="12">
        <f ca="1">INDIRECT("'"&amp;B9&amp;"'!"&amp;K1&amp;"55")</f>
        <v>0</v>
      </c>
      <c r="AB9" s="199">
        <f t="shared" ca="1" si="6"/>
        <v>0</v>
      </c>
      <c r="AC9" s="5">
        <f ca="1">RANK(AB9,AB6:AB64,0)</f>
        <v>8</v>
      </c>
    </row>
    <row r="10" spans="1:29">
      <c r="A10" s="4" t="s">
        <v>72</v>
      </c>
      <c r="B10" s="204">
        <v>105</v>
      </c>
      <c r="C10" s="5">
        <f ca="1">INDIRECT("'"&amp;B10&amp;"'!"&amp;K1&amp;"5")</f>
        <v>450</v>
      </c>
      <c r="D10" s="5">
        <f ca="1">INDIRECT("'"&amp;B10&amp;"'!"&amp;K1&amp;"4")</f>
        <v>433</v>
      </c>
      <c r="E10" s="5">
        <f t="shared" ca="1" si="7"/>
        <v>3.9260969976905358</v>
      </c>
      <c r="F10" s="5">
        <f t="shared" ca="1" si="8"/>
        <v>90</v>
      </c>
      <c r="G10" s="5">
        <f ca="1">INDIRECT("'"&amp;B10&amp;"'!"&amp;K1&amp;"37")</f>
        <v>144</v>
      </c>
      <c r="H10" s="5">
        <f t="shared" ca="1" si="9"/>
        <v>12</v>
      </c>
      <c r="I10" s="5">
        <f ca="1">INDIRECT("'"&amp;B10&amp;"'!"&amp;K1&amp;"39")</f>
        <v>7</v>
      </c>
      <c r="J10" s="198">
        <f t="shared" ca="1" si="0"/>
        <v>4.8611111111111116</v>
      </c>
      <c r="K10" s="5">
        <f ca="1">RANK(J10,J6:J64,0)</f>
        <v>22</v>
      </c>
      <c r="L10" s="5">
        <f ca="1">INDIRECT("'"&amp;B10&amp;"'!"&amp;K1&amp;"41")</f>
        <v>33</v>
      </c>
      <c r="M10" s="198">
        <f t="shared" ca="1" si="1"/>
        <v>22.916666666666664</v>
      </c>
      <c r="N10" s="5">
        <f ca="1">RANK(M10,M6:M64,0)</f>
        <v>55</v>
      </c>
      <c r="O10" s="12">
        <f ca="1">INDIRECT("'"&amp;B10&amp;"'!"&amp;K1&amp;"43")</f>
        <v>96</v>
      </c>
      <c r="P10" s="199">
        <f t="shared" ca="1" si="2"/>
        <v>66.666666666666657</v>
      </c>
      <c r="Q10" s="5">
        <f ca="1">RANK(P10,P6:P64,0)</f>
        <v>22</v>
      </c>
      <c r="R10" s="12">
        <f ca="1">INDIRECT("'"&amp;B10&amp;"'!"&amp;K1&amp;"49")</f>
        <v>89</v>
      </c>
      <c r="S10" s="199">
        <f t="shared" ca="1" si="3"/>
        <v>61.805555555555557</v>
      </c>
      <c r="T10" s="5">
        <f ca="1">RANK(S10,S6:S64,0)</f>
        <v>27</v>
      </c>
      <c r="U10" s="12">
        <f ca="1">INDIRECT("'"&amp;B10&amp;"'!"&amp;K1&amp;"51")</f>
        <v>199</v>
      </c>
      <c r="V10" s="199">
        <f t="shared" ca="1" si="4"/>
        <v>44.222222222222221</v>
      </c>
      <c r="W10" s="5">
        <f ca="1">RANK(V10,V6:V64,0)</f>
        <v>5</v>
      </c>
      <c r="X10" s="12">
        <f ca="1">INDIRECT("'"&amp;B10&amp;"'!"&amp;K1&amp;"53")</f>
        <v>102</v>
      </c>
      <c r="Y10" s="199">
        <f t="shared" ca="1" si="5"/>
        <v>22.666666666666664</v>
      </c>
      <c r="Z10" s="5">
        <f ca="1">RANK(Y10,Y6:Y64,0)</f>
        <v>9</v>
      </c>
      <c r="AA10" s="12">
        <f ca="1">INDIRECT("'"&amp;B10&amp;"'!"&amp;K1&amp;"55")</f>
        <v>1</v>
      </c>
      <c r="AB10" s="199">
        <f t="shared" ca="1" si="6"/>
        <v>0.22222222222222221</v>
      </c>
      <c r="AC10" s="5">
        <f ca="1">RANK(AB10,AB6:AB64,0)</f>
        <v>7</v>
      </c>
    </row>
    <row r="11" spans="1:29">
      <c r="A11" s="4" t="s">
        <v>73</v>
      </c>
      <c r="B11" s="204">
        <v>106</v>
      </c>
      <c r="C11" s="5">
        <f ca="1">INDIRECT("'"&amp;B11&amp;"'!"&amp;K1&amp;"5")</f>
        <v>210</v>
      </c>
      <c r="D11" s="5">
        <f ca="1">INDIRECT("'"&amp;B11&amp;"'!"&amp;K1&amp;"4")</f>
        <v>240</v>
      </c>
      <c r="E11" s="5">
        <f t="shared" ca="1" si="7"/>
        <v>-12.5</v>
      </c>
      <c r="F11" s="5">
        <f t="shared" ca="1" si="8"/>
        <v>42</v>
      </c>
      <c r="G11" s="5">
        <f ca="1">INDIRECT("'"&amp;B11&amp;"'!"&amp;K1&amp;"37")</f>
        <v>107</v>
      </c>
      <c r="H11" s="5">
        <f t="shared" ca="1" si="9"/>
        <v>8.9166666666666661</v>
      </c>
      <c r="I11" s="5">
        <f ca="1">INDIRECT("'"&amp;B11&amp;"'!"&amp;K1&amp;"39")</f>
        <v>9</v>
      </c>
      <c r="J11" s="198">
        <f t="shared" ca="1" si="0"/>
        <v>8.4112149532710276</v>
      </c>
      <c r="K11" s="5">
        <f ca="1">RANK(J11,J6:J64,0)</f>
        <v>9</v>
      </c>
      <c r="L11" s="5">
        <f ca="1">INDIRECT("'"&amp;B11&amp;"'!"&amp;K1&amp;"41")</f>
        <v>29</v>
      </c>
      <c r="M11" s="198">
        <f t="shared" ca="1" si="1"/>
        <v>27.102803738317753</v>
      </c>
      <c r="N11" s="5">
        <f ca="1">RANK(M11,M6:M64,0)</f>
        <v>49</v>
      </c>
      <c r="O11" s="12">
        <f ca="1">INDIRECT("'"&amp;B11&amp;"'!"&amp;K1&amp;"43")</f>
        <v>80</v>
      </c>
      <c r="P11" s="199">
        <f t="shared" ca="1" si="2"/>
        <v>74.766355140186917</v>
      </c>
      <c r="Q11" s="5">
        <f ca="1">RANK(P11,P6:P64,0)</f>
        <v>16</v>
      </c>
      <c r="R11" s="12">
        <f ca="1">INDIRECT("'"&amp;B11&amp;"'!"&amp;K1&amp;"49")</f>
        <v>68</v>
      </c>
      <c r="S11" s="199">
        <f t="shared" ca="1" si="3"/>
        <v>63.551401869158873</v>
      </c>
      <c r="T11" s="5">
        <f ca="1">RANK(S11,S6:S64,0)</f>
        <v>25</v>
      </c>
      <c r="U11" s="12">
        <f ca="1">INDIRECT("'"&amp;B11&amp;"'!"&amp;K1&amp;"51")</f>
        <v>82</v>
      </c>
      <c r="V11" s="199">
        <f t="shared" ca="1" si="4"/>
        <v>39.047619047619051</v>
      </c>
      <c r="W11" s="5">
        <f ca="1">RANK(V11,V6:V64,0)</f>
        <v>8</v>
      </c>
      <c r="X11" s="12">
        <f ca="1">INDIRECT("'"&amp;B11&amp;"'!"&amp;K1&amp;"53")</f>
        <v>61</v>
      </c>
      <c r="Y11" s="199">
        <f t="shared" ca="1" si="5"/>
        <v>29.047619047619051</v>
      </c>
      <c r="Z11" s="5">
        <f ca="1">RANK(Y11,Y6:Y64,0)</f>
        <v>3</v>
      </c>
      <c r="AA11" s="12">
        <f ca="1">INDIRECT("'"&amp;B11&amp;"'!"&amp;K1&amp;"55")</f>
        <v>0</v>
      </c>
      <c r="AB11" s="199">
        <f t="shared" ca="1" si="6"/>
        <v>0</v>
      </c>
      <c r="AC11" s="5">
        <f ca="1">RANK(AB11,AB6:AB64,0)</f>
        <v>8</v>
      </c>
    </row>
    <row r="12" spans="1:29">
      <c r="A12" s="4" t="s">
        <v>74</v>
      </c>
      <c r="B12" s="204">
        <v>107</v>
      </c>
      <c r="C12" s="5">
        <f ca="1">INDIRECT("'"&amp;B12&amp;"'!"&amp;K1&amp;"5")</f>
        <v>129</v>
      </c>
      <c r="D12" s="5">
        <f ca="1">INDIRECT("'"&amp;B12&amp;"'!"&amp;K1&amp;"4")</f>
        <v>108</v>
      </c>
      <c r="E12" s="5">
        <f t="shared" ca="1" si="7"/>
        <v>19.444444444444443</v>
      </c>
      <c r="F12" s="5">
        <f t="shared" ca="1" si="8"/>
        <v>25.8</v>
      </c>
      <c r="G12" s="5">
        <f ca="1">INDIRECT("'"&amp;B12&amp;"'!"&amp;K1&amp;"37")</f>
        <v>47</v>
      </c>
      <c r="H12" s="5">
        <f t="shared" ca="1" si="9"/>
        <v>3.9166666666666665</v>
      </c>
      <c r="I12" s="5">
        <f ca="1">INDIRECT("'"&amp;B12&amp;"'!"&amp;K1&amp;"39")</f>
        <v>1</v>
      </c>
      <c r="J12" s="198">
        <f t="shared" ca="1" si="0"/>
        <v>2.1276595744680851</v>
      </c>
      <c r="K12" s="5">
        <f ca="1">RANK(J12,J6:J64,0)</f>
        <v>29</v>
      </c>
      <c r="L12" s="5">
        <f ca="1">INDIRECT("'"&amp;B12&amp;"'!"&amp;K1&amp;"41")</f>
        <v>12</v>
      </c>
      <c r="M12" s="198">
        <f t="shared" ca="1" si="1"/>
        <v>25.531914893617021</v>
      </c>
      <c r="N12" s="5">
        <f ca="1">RANK(M12,M6:M64,0)</f>
        <v>51</v>
      </c>
      <c r="O12" s="12">
        <f ca="1">INDIRECT("'"&amp;B12&amp;"'!"&amp;K1&amp;"43")</f>
        <v>23</v>
      </c>
      <c r="P12" s="199">
        <f t="shared" ca="1" si="2"/>
        <v>48.936170212765958</v>
      </c>
      <c r="Q12" s="5">
        <f ca="1">RANK(P12,P6:P64,0)</f>
        <v>52</v>
      </c>
      <c r="R12" s="12">
        <f ca="1">INDIRECT("'"&amp;B12&amp;"'!"&amp;K1&amp;"49")</f>
        <v>20</v>
      </c>
      <c r="S12" s="199">
        <f t="shared" ca="1" si="3"/>
        <v>42.553191489361701</v>
      </c>
      <c r="T12" s="5">
        <f ca="1">RANK(S12,S6:S64,0)</f>
        <v>52</v>
      </c>
      <c r="U12" s="12">
        <f ca="1">INDIRECT("'"&amp;B12&amp;"'!"&amp;K1&amp;"51")</f>
        <v>52</v>
      </c>
      <c r="V12" s="199">
        <f t="shared" ca="1" si="4"/>
        <v>40.310077519379846</v>
      </c>
      <c r="W12" s="5">
        <f ca="1">RANK(V12,V6:V64,0)</f>
        <v>7</v>
      </c>
      <c r="X12" s="12">
        <f ca="1">INDIRECT("'"&amp;B12&amp;"'!"&amp;K1&amp;"53")</f>
        <v>29</v>
      </c>
      <c r="Y12" s="199">
        <f t="shared" ca="1" si="5"/>
        <v>22.480620155038761</v>
      </c>
      <c r="Z12" s="5">
        <f ca="1">RANK(Y12,Y6:Y64,0)</f>
        <v>10</v>
      </c>
      <c r="AA12" s="12">
        <f ca="1">INDIRECT("'"&amp;B12&amp;"'!"&amp;K1&amp;"55")</f>
        <v>0</v>
      </c>
      <c r="AB12" s="199">
        <f t="shared" ca="1" si="6"/>
        <v>0</v>
      </c>
      <c r="AC12" s="5">
        <f ca="1">RANK(AB12,AB6:AB64,0)</f>
        <v>8</v>
      </c>
    </row>
    <row r="13" spans="1:29">
      <c r="A13" s="4" t="s">
        <v>75</v>
      </c>
      <c r="B13" s="204">
        <v>112</v>
      </c>
      <c r="C13" s="5">
        <f ca="1">INDIRECT("'"&amp;B13&amp;"'!"&amp;K1&amp;"5")</f>
        <v>60</v>
      </c>
      <c r="D13" s="5">
        <f ca="1">INDIRECT("'"&amp;B13&amp;"'!"&amp;K1&amp;"4")</f>
        <v>64</v>
      </c>
      <c r="E13" s="5">
        <f t="shared" ca="1" si="7"/>
        <v>-6.25</v>
      </c>
      <c r="F13" s="5">
        <f t="shared" ca="1" si="8"/>
        <v>12</v>
      </c>
      <c r="G13" s="5">
        <f ca="1">INDIRECT("'"&amp;B13&amp;"'!"&amp;K1&amp;"37")</f>
        <v>18</v>
      </c>
      <c r="H13" s="5">
        <f t="shared" ca="1" si="9"/>
        <v>1.5</v>
      </c>
      <c r="I13" s="5">
        <f ca="1">INDIRECT("'"&amp;B13&amp;"'!"&amp;K1&amp;"39")</f>
        <v>0</v>
      </c>
      <c r="J13" s="198">
        <f t="shared" ca="1" si="0"/>
        <v>0</v>
      </c>
      <c r="K13" s="5">
        <f ca="1">RANK(J13,J6:J64,0)</f>
        <v>31</v>
      </c>
      <c r="L13" s="5">
        <f ca="1">INDIRECT("'"&amp;B13&amp;"'!"&amp;K1&amp;"41")</f>
        <v>1</v>
      </c>
      <c r="M13" s="198">
        <f t="shared" ca="1" si="1"/>
        <v>5.5555555555555554</v>
      </c>
      <c r="N13" s="5">
        <f ca="1">RANK(M13,M6:M64,0)</f>
        <v>58</v>
      </c>
      <c r="O13" s="12">
        <f ca="1">INDIRECT("'"&amp;B13&amp;"'!"&amp;K1&amp;"43")</f>
        <v>10</v>
      </c>
      <c r="P13" s="199">
        <f t="shared" ca="1" si="2"/>
        <v>55.555555555555557</v>
      </c>
      <c r="Q13" s="5">
        <f ca="1">RANK(P13,P6:P64,0)</f>
        <v>42</v>
      </c>
      <c r="R13" s="12">
        <f ca="1">INDIRECT("'"&amp;B13&amp;"'!"&amp;K1&amp;"49")</f>
        <v>9</v>
      </c>
      <c r="S13" s="199">
        <f t="shared" ca="1" si="3"/>
        <v>50</v>
      </c>
      <c r="T13" s="5">
        <f ca="1">RANK(S13,S6:S64,0)</f>
        <v>39</v>
      </c>
      <c r="U13" s="12">
        <f ca="1">INDIRECT("'"&amp;B13&amp;"'!"&amp;K1&amp;"51")</f>
        <v>29</v>
      </c>
      <c r="V13" s="199">
        <f t="shared" ca="1" si="4"/>
        <v>48.333333333333336</v>
      </c>
      <c r="W13" s="5">
        <f ca="1">RANK(V13,V6:V64,0)</f>
        <v>2</v>
      </c>
      <c r="X13" s="12">
        <f ca="1">INDIRECT("'"&amp;B13&amp;"'!"&amp;K1&amp;"53")</f>
        <v>11</v>
      </c>
      <c r="Y13" s="199">
        <f t="shared" ca="1" si="5"/>
        <v>18.333333333333332</v>
      </c>
      <c r="Z13" s="5">
        <f ca="1">RANK(Y13,Y6:Y64,0)</f>
        <v>21</v>
      </c>
      <c r="AA13" s="12">
        <f ca="1">INDIRECT("'"&amp;B13&amp;"'!"&amp;K1&amp;"55")</f>
        <v>0</v>
      </c>
      <c r="AB13" s="199">
        <f t="shared" ca="1" si="6"/>
        <v>0</v>
      </c>
      <c r="AC13" s="5">
        <f ca="1">RANK(AB13,AB6:AB64,0)</f>
        <v>8</v>
      </c>
    </row>
    <row r="14" spans="1:29">
      <c r="A14" s="4" t="s">
        <v>76</v>
      </c>
      <c r="B14" s="204">
        <v>201</v>
      </c>
      <c r="C14" s="5">
        <f ca="1">INDIRECT("'"&amp;B14&amp;"'!"&amp;K1&amp;"5")</f>
        <v>38</v>
      </c>
      <c r="D14" s="5">
        <f ca="1">INDIRECT("'"&amp;B14&amp;"'!"&amp;K1&amp;"4")</f>
        <v>21</v>
      </c>
      <c r="E14" s="5">
        <f t="shared" ca="1" si="7"/>
        <v>80.952380952380963</v>
      </c>
      <c r="F14" s="5">
        <f t="shared" ca="1" si="8"/>
        <v>7.6</v>
      </c>
      <c r="G14" s="5">
        <f ca="1">INDIRECT("'"&amp;B14&amp;"'!"&amp;K1&amp;"37")</f>
        <v>16</v>
      </c>
      <c r="H14" s="5">
        <f t="shared" ca="1" si="9"/>
        <v>1.3333333333333333</v>
      </c>
      <c r="I14" s="5">
        <f ca="1">INDIRECT("'"&amp;B14&amp;"'!"&amp;K1&amp;"39")</f>
        <v>0</v>
      </c>
      <c r="J14" s="198">
        <f t="shared" ca="1" si="0"/>
        <v>0</v>
      </c>
      <c r="K14" s="5">
        <f ca="1">RANK(J14,J6:J64,0)</f>
        <v>31</v>
      </c>
      <c r="L14" s="5">
        <f ca="1">INDIRECT("'"&amp;B14&amp;"'!"&amp;K1&amp;"41")</f>
        <v>8</v>
      </c>
      <c r="M14" s="198">
        <f t="shared" ca="1" si="1"/>
        <v>50</v>
      </c>
      <c r="N14" s="5">
        <f ca="1">RANK(M14,M6:M64,0)</f>
        <v>16</v>
      </c>
      <c r="O14" s="12">
        <f ca="1">INDIRECT("'"&amp;B14&amp;"'!"&amp;K1&amp;"43")</f>
        <v>8</v>
      </c>
      <c r="P14" s="199">
        <f t="shared" ca="1" si="2"/>
        <v>50</v>
      </c>
      <c r="Q14" s="5">
        <f ca="1">RANK(P14,P6:P64,0)</f>
        <v>48</v>
      </c>
      <c r="R14" s="12">
        <f ca="1">INDIRECT("'"&amp;B14&amp;"'!"&amp;K1&amp;"49")</f>
        <v>14</v>
      </c>
      <c r="S14" s="199">
        <f t="shared" ca="1" si="3"/>
        <v>87.5</v>
      </c>
      <c r="T14" s="5">
        <f ca="1">RANK(S14,S6:S64,0)</f>
        <v>4</v>
      </c>
      <c r="U14" s="12">
        <f ca="1">INDIRECT("'"&amp;B14&amp;"'!"&amp;K1&amp;"51")</f>
        <v>4</v>
      </c>
      <c r="V14" s="199">
        <f t="shared" ca="1" si="4"/>
        <v>10.526315789473683</v>
      </c>
      <c r="W14" s="5">
        <f ca="1">RANK(V14,V6:V64,0)</f>
        <v>52</v>
      </c>
      <c r="X14" s="12">
        <f ca="1">INDIRECT("'"&amp;B14&amp;"'!"&amp;K1&amp;"53")</f>
        <v>3</v>
      </c>
      <c r="Y14" s="199">
        <f t="shared" ca="1" si="5"/>
        <v>7.8947368421052628</v>
      </c>
      <c r="Z14" s="5">
        <f ca="1">RANK(Y14,Y6:Y64,0)</f>
        <v>47</v>
      </c>
      <c r="AA14" s="12">
        <f ca="1">INDIRECT("'"&amp;B14&amp;"'!"&amp;K1&amp;"55")</f>
        <v>0</v>
      </c>
      <c r="AB14" s="199">
        <f t="shared" ca="1" si="6"/>
        <v>0</v>
      </c>
      <c r="AC14" s="5">
        <f ca="1">RANK(AB14,AB6:AB64,0)</f>
        <v>8</v>
      </c>
    </row>
    <row r="15" spans="1:29">
      <c r="A15" s="4" t="s">
        <v>77</v>
      </c>
      <c r="B15" s="204">
        <v>202</v>
      </c>
      <c r="C15" s="5">
        <f ca="1">INDIRECT("'"&amp;B15&amp;"'!"&amp;K1&amp;"5")</f>
        <v>166</v>
      </c>
      <c r="D15" s="5">
        <f ca="1">INDIRECT("'"&amp;B15&amp;"'!"&amp;K1&amp;"4")</f>
        <v>137</v>
      </c>
      <c r="E15" s="5">
        <f t="shared" ca="1" si="7"/>
        <v>21.167883211678841</v>
      </c>
      <c r="F15" s="5">
        <f t="shared" ca="1" si="8"/>
        <v>33.200000000000003</v>
      </c>
      <c r="G15" s="5">
        <f ca="1">INDIRECT("'"&amp;B15&amp;"'!"&amp;K1&amp;"37")</f>
        <v>88</v>
      </c>
      <c r="H15" s="5">
        <f t="shared" ca="1" si="9"/>
        <v>7.333333333333333</v>
      </c>
      <c r="I15" s="5">
        <f ca="1">INDIRECT("'"&amp;B15&amp;"'!"&amp;K1&amp;"39")</f>
        <v>1</v>
      </c>
      <c r="J15" s="198">
        <f t="shared" ca="1" si="0"/>
        <v>1.1363636363636365</v>
      </c>
      <c r="K15" s="5">
        <f ca="1">RANK(J15,J6:J64,0)</f>
        <v>30</v>
      </c>
      <c r="L15" s="5">
        <f ca="1">INDIRECT("'"&amp;B15&amp;"'!"&amp;K1&amp;"41")</f>
        <v>27</v>
      </c>
      <c r="M15" s="198">
        <f t="shared" ca="1" si="1"/>
        <v>30.681818181818183</v>
      </c>
      <c r="N15" s="5">
        <f ca="1">RANK(M15,M6:M64,0)</f>
        <v>39</v>
      </c>
      <c r="O15" s="12">
        <f ca="1">INDIRECT("'"&amp;B15&amp;"'!"&amp;K1&amp;"43")</f>
        <v>61</v>
      </c>
      <c r="P15" s="199">
        <f t="shared" ca="1" si="2"/>
        <v>69.318181818181827</v>
      </c>
      <c r="Q15" s="5">
        <f ca="1">RANK(P15,P6:P64,0)</f>
        <v>21</v>
      </c>
      <c r="R15" s="12">
        <f ca="1">INDIRECT("'"&amp;B15&amp;"'!"&amp;K1&amp;"49")</f>
        <v>54</v>
      </c>
      <c r="S15" s="199">
        <f t="shared" ca="1" si="3"/>
        <v>61.363636363636367</v>
      </c>
      <c r="T15" s="5">
        <f ca="1">RANK(S15,S6:S64,0)</f>
        <v>28</v>
      </c>
      <c r="U15" s="12">
        <f ca="1">INDIRECT("'"&amp;B15&amp;"'!"&amp;K1&amp;"51")</f>
        <v>47</v>
      </c>
      <c r="V15" s="199">
        <f t="shared" ca="1" si="4"/>
        <v>28.313253012048197</v>
      </c>
      <c r="W15" s="5">
        <f ca="1">RANK(V15,V6:V64,0)</f>
        <v>23</v>
      </c>
      <c r="X15" s="12">
        <f ca="1">INDIRECT("'"&amp;B15&amp;"'!"&amp;K1&amp;"53")</f>
        <v>27</v>
      </c>
      <c r="Y15" s="199">
        <f t="shared" ca="1" si="5"/>
        <v>16.265060240963855</v>
      </c>
      <c r="Z15" s="5">
        <f ca="1">RANK(Y15,Y6:Y64,0)</f>
        <v>27</v>
      </c>
      <c r="AA15" s="12">
        <f ca="1">INDIRECT("'"&amp;B15&amp;"'!"&amp;K1&amp;"55")</f>
        <v>0</v>
      </c>
      <c r="AB15" s="199">
        <f t="shared" ca="1" si="6"/>
        <v>0</v>
      </c>
      <c r="AC15" s="5">
        <f ca="1">RANK(AB15,AB6:AB64,0)</f>
        <v>8</v>
      </c>
    </row>
    <row r="16" spans="1:29">
      <c r="A16" s="4" t="s">
        <v>78</v>
      </c>
      <c r="B16" s="204">
        <v>203</v>
      </c>
      <c r="C16" s="5">
        <f ca="1">INDIRECT("'"&amp;B16&amp;"'!"&amp;K1&amp;"5")</f>
        <v>20</v>
      </c>
      <c r="D16" s="5">
        <f ca="1">INDIRECT("'"&amp;B16&amp;"'!"&amp;K1&amp;"4")</f>
        <v>23</v>
      </c>
      <c r="E16" s="5">
        <f t="shared" ca="1" si="7"/>
        <v>-13.043478260869563</v>
      </c>
      <c r="F16" s="5">
        <f t="shared" ca="1" si="8"/>
        <v>4</v>
      </c>
      <c r="G16" s="5">
        <f ca="1">INDIRECT("'"&amp;B16&amp;"'!"&amp;K1&amp;"37")</f>
        <v>17</v>
      </c>
      <c r="H16" s="5">
        <f t="shared" ca="1" si="9"/>
        <v>1.4166666666666667</v>
      </c>
      <c r="I16" s="5">
        <f ca="1">INDIRECT("'"&amp;B16&amp;"'!"&amp;K1&amp;"39")</f>
        <v>2</v>
      </c>
      <c r="J16" s="198">
        <f t="shared" ca="1" si="0"/>
        <v>11.76470588235294</v>
      </c>
      <c r="K16" s="5">
        <f ca="1">RANK(J16,J6:J64,0)</f>
        <v>7</v>
      </c>
      <c r="L16" s="5">
        <f ca="1">INDIRECT("'"&amp;B16&amp;"'!"&amp;K1&amp;"41")</f>
        <v>9</v>
      </c>
      <c r="M16" s="198">
        <f t="shared" ca="1" si="1"/>
        <v>52.941176470588239</v>
      </c>
      <c r="N16" s="5">
        <f ca="1">RANK(M16,M6:M64,0)</f>
        <v>14</v>
      </c>
      <c r="O16" s="12">
        <f ca="1">INDIRECT("'"&amp;B16&amp;"'!"&amp;K1&amp;"43")</f>
        <v>9</v>
      </c>
      <c r="P16" s="199">
        <f t="shared" ca="1" si="2"/>
        <v>52.941176470588239</v>
      </c>
      <c r="Q16" s="5">
        <f ca="1">RANK(P16,P6:P64,0)</f>
        <v>46</v>
      </c>
      <c r="R16" s="12">
        <f ca="1">INDIRECT("'"&amp;B16&amp;"'!"&amp;K1&amp;"49")</f>
        <v>11</v>
      </c>
      <c r="S16" s="199">
        <f t="shared" ca="1" si="3"/>
        <v>64.705882352941174</v>
      </c>
      <c r="T16" s="5">
        <f ca="1">RANK(S16,S6:S64,0)</f>
        <v>23</v>
      </c>
      <c r="U16" s="12">
        <f ca="1">INDIRECT("'"&amp;B16&amp;"'!"&amp;K1&amp;"51")</f>
        <v>4</v>
      </c>
      <c r="V16" s="199">
        <f t="shared" ca="1" si="4"/>
        <v>20</v>
      </c>
      <c r="W16" s="5">
        <f ca="1">RANK(V16,V6:V64,0)</f>
        <v>34</v>
      </c>
      <c r="X16" s="12">
        <f ca="1">INDIRECT("'"&amp;B16&amp;"'!"&amp;K1&amp;"53")</f>
        <v>3</v>
      </c>
      <c r="Y16" s="199">
        <f t="shared" ca="1" si="5"/>
        <v>15</v>
      </c>
      <c r="Z16" s="5">
        <f ca="1">RANK(Y16,Y6:Y64,0)</f>
        <v>31</v>
      </c>
      <c r="AA16" s="12">
        <f ca="1">INDIRECT("'"&amp;B16&amp;"'!"&amp;K1&amp;"55")</f>
        <v>0</v>
      </c>
      <c r="AB16" s="199">
        <f t="shared" ca="1" si="6"/>
        <v>0</v>
      </c>
      <c r="AC16" s="5">
        <f ca="1">RANK(AB16,AB6:AB64,0)</f>
        <v>8</v>
      </c>
    </row>
    <row r="17" spans="1:29">
      <c r="A17" s="4" t="s">
        <v>79</v>
      </c>
      <c r="B17" s="204">
        <v>249</v>
      </c>
      <c r="C17" s="5">
        <f ca="1">INDIRECT("'"&amp;B17&amp;"'!"&amp;K1&amp;"5")</f>
        <v>73</v>
      </c>
      <c r="D17" s="5">
        <f ca="1">INDIRECT("'"&amp;B17&amp;"'!"&amp;K1&amp;"4")</f>
        <v>81</v>
      </c>
      <c r="E17" s="5">
        <f t="shared" ca="1" si="7"/>
        <v>-9.8765432098765444</v>
      </c>
      <c r="F17" s="5">
        <f t="shared" ca="1" si="8"/>
        <v>14.6</v>
      </c>
      <c r="G17" s="5">
        <f ca="1">INDIRECT("'"&amp;B17&amp;"'!"&amp;K1&amp;"37")</f>
        <v>47</v>
      </c>
      <c r="H17" s="5">
        <f t="shared" ca="1" si="9"/>
        <v>3.9166666666666665</v>
      </c>
      <c r="I17" s="5">
        <f ca="1">INDIRECT("'"&amp;B17&amp;"'!"&amp;K1&amp;"39")</f>
        <v>2</v>
      </c>
      <c r="J17" s="198">
        <f t="shared" ca="1" si="0"/>
        <v>4.2553191489361701</v>
      </c>
      <c r="K17" s="5">
        <f ca="1">RANK(J17,J6:J64,0)</f>
        <v>26</v>
      </c>
      <c r="L17" s="5">
        <f ca="1">INDIRECT("'"&amp;B17&amp;"'!"&amp;K1&amp;"41")</f>
        <v>15</v>
      </c>
      <c r="M17" s="198">
        <f t="shared" ca="1" si="1"/>
        <v>31.914893617021278</v>
      </c>
      <c r="N17" s="5">
        <f ca="1">RANK(M17,M6:M64,0)</f>
        <v>38</v>
      </c>
      <c r="O17" s="12">
        <f ca="1">INDIRECT("'"&amp;B17&amp;"'!"&amp;K1&amp;"43")</f>
        <v>39</v>
      </c>
      <c r="P17" s="199">
        <f t="shared" ca="1" si="2"/>
        <v>82.978723404255319</v>
      </c>
      <c r="Q17" s="5">
        <f ca="1">RANK(P17,P6:P64,0)</f>
        <v>8</v>
      </c>
      <c r="R17" s="12">
        <f ca="1">INDIRECT("'"&amp;B17&amp;"'!"&amp;K1&amp;"49")</f>
        <v>36</v>
      </c>
      <c r="S17" s="199">
        <f t="shared" ca="1" si="3"/>
        <v>76.59574468085107</v>
      </c>
      <c r="T17" s="5">
        <f ca="1">RANK(S17,S6:S64,0)</f>
        <v>12</v>
      </c>
      <c r="U17" s="12">
        <f ca="1">INDIRECT("'"&amp;B17&amp;"'!"&amp;K1&amp;"51")</f>
        <v>12</v>
      </c>
      <c r="V17" s="199">
        <f t="shared" ca="1" si="4"/>
        <v>16.43835616438356</v>
      </c>
      <c r="W17" s="5">
        <f ca="1">RANK(V17,V6:V64,0)</f>
        <v>43</v>
      </c>
      <c r="X17" s="12">
        <f ca="1">INDIRECT("'"&amp;B17&amp;"'!"&amp;K1&amp;"53")</f>
        <v>8</v>
      </c>
      <c r="Y17" s="199">
        <f t="shared" ca="1" si="5"/>
        <v>10.95890410958904</v>
      </c>
      <c r="Z17" s="5">
        <f ca="1">RANK(Y17,Y6:Y64,0)</f>
        <v>44</v>
      </c>
      <c r="AA17" s="12">
        <f ca="1">INDIRECT("'"&amp;B17&amp;"'!"&amp;K1&amp;"55")</f>
        <v>0</v>
      </c>
      <c r="AB17" s="199">
        <f t="shared" ca="1" si="6"/>
        <v>0</v>
      </c>
      <c r="AC17" s="5">
        <f ca="1">RANK(AB17,AB6:AB64,0)</f>
        <v>8</v>
      </c>
    </row>
    <row r="18" spans="1:29">
      <c r="A18" s="4" t="s">
        <v>400</v>
      </c>
      <c r="B18" s="204">
        <v>204</v>
      </c>
      <c r="C18" s="5">
        <f ca="1">INDIRECT("'"&amp;B18&amp;"'!"&amp;K1&amp;"5")</f>
        <v>7</v>
      </c>
      <c r="D18" s="5">
        <f ca="1">INDIRECT("'"&amp;B18&amp;"'!"&amp;K1&amp;"4")</f>
        <v>12</v>
      </c>
      <c r="E18" s="5">
        <f t="shared" ca="1" si="7"/>
        <v>-41.666666666666664</v>
      </c>
      <c r="F18" s="5">
        <f t="shared" ca="1" si="8"/>
        <v>1.4</v>
      </c>
      <c r="G18" s="5">
        <f ca="1">INDIRECT("'"&amp;B18&amp;"'!"&amp;K1&amp;"37")</f>
        <v>8</v>
      </c>
      <c r="H18" s="5">
        <f t="shared" ca="1" si="9"/>
        <v>0.66666666666666663</v>
      </c>
      <c r="I18" s="5">
        <f ca="1">INDIRECT("'"&amp;B18&amp;"'!"&amp;K1&amp;"39")</f>
        <v>0</v>
      </c>
      <c r="J18" s="198">
        <f t="shared" ca="1" si="0"/>
        <v>0</v>
      </c>
      <c r="K18" s="5">
        <f ca="1">RANK(J18,J6:J64,0)</f>
        <v>31</v>
      </c>
      <c r="L18" s="5">
        <f ca="1">INDIRECT("'"&amp;B18&amp;"'!"&amp;K1&amp;"41")</f>
        <v>4</v>
      </c>
      <c r="M18" s="198">
        <f t="shared" ca="1" si="1"/>
        <v>50</v>
      </c>
      <c r="N18" s="5">
        <f ca="1">RANK(M18,M6:M64,0)</f>
        <v>16</v>
      </c>
      <c r="O18" s="12">
        <f ca="1">INDIRECT("'"&amp;B18&amp;"'!"&amp;K1&amp;"43")</f>
        <v>4</v>
      </c>
      <c r="P18" s="199">
        <f t="shared" ca="1" si="2"/>
        <v>50</v>
      </c>
      <c r="Q18" s="5">
        <f ca="1">RANK(P18,P6:P64,0)</f>
        <v>48</v>
      </c>
      <c r="R18" s="12">
        <f ca="1">INDIRECT("'"&amp;B18&amp;"'!"&amp;K1&amp;"49")</f>
        <v>4</v>
      </c>
      <c r="S18" s="199">
        <f t="shared" ca="1" si="3"/>
        <v>50</v>
      </c>
      <c r="T18" s="5">
        <f ca="1">RANK(S18,S6:S64,0)</f>
        <v>39</v>
      </c>
      <c r="U18" s="12">
        <f ca="1">INDIRECT("'"&amp;B18&amp;"'!"&amp;K1&amp;"51")</f>
        <v>2</v>
      </c>
      <c r="V18" s="199">
        <f t="shared" ca="1" si="4"/>
        <v>28.571428571428569</v>
      </c>
      <c r="W18" s="5">
        <f ca="1">RANK(V18,V6:V64,0)</f>
        <v>21</v>
      </c>
      <c r="X18" s="12">
        <f ca="1">INDIRECT("'"&amp;B18&amp;"'!"&amp;K1&amp;"53")</f>
        <v>1</v>
      </c>
      <c r="Y18" s="199">
        <f t="shared" ca="1" si="5"/>
        <v>14.285714285714285</v>
      </c>
      <c r="Z18" s="5">
        <f ca="1">RANK(Y18,Y6:Y64,0)</f>
        <v>34</v>
      </c>
      <c r="AA18" s="12">
        <f ca="1">INDIRECT("'"&amp;B18&amp;"'!"&amp;K1&amp;"55")</f>
        <v>0</v>
      </c>
      <c r="AB18" s="199">
        <f t="shared" ca="1" si="6"/>
        <v>0</v>
      </c>
      <c r="AC18" s="5">
        <f ca="1">RANK(AB18,AB6:AB64,0)</f>
        <v>8</v>
      </c>
    </row>
    <row r="19" spans="1:29">
      <c r="A19" s="4" t="s">
        <v>80</v>
      </c>
      <c r="B19" s="204">
        <v>207</v>
      </c>
      <c r="C19" s="5">
        <f ca="1">INDIRECT("'"&amp;B19&amp;"'!"&amp;K1&amp;"5")</f>
        <v>20</v>
      </c>
      <c r="D19" s="5">
        <f ca="1">INDIRECT("'"&amp;B19&amp;"'!"&amp;K1&amp;"4")</f>
        <v>12</v>
      </c>
      <c r="E19" s="5">
        <f t="shared" ca="1" si="7"/>
        <v>66.666666666666686</v>
      </c>
      <c r="F19" s="5">
        <f t="shared" ca="1" si="8"/>
        <v>4</v>
      </c>
      <c r="G19" s="5">
        <f ca="1">INDIRECT("'"&amp;B19&amp;"'!"&amp;K1&amp;"37")</f>
        <v>7</v>
      </c>
      <c r="H19" s="5">
        <f t="shared" ca="1" si="9"/>
        <v>0.58333333333333337</v>
      </c>
      <c r="I19" s="5">
        <f ca="1">INDIRECT("'"&amp;B19&amp;"'!"&amp;K1&amp;"39")</f>
        <v>0</v>
      </c>
      <c r="J19" s="198">
        <f t="shared" ca="1" si="0"/>
        <v>0</v>
      </c>
      <c r="K19" s="5">
        <f ca="1">RANK(J19,J6:J64,0)</f>
        <v>31</v>
      </c>
      <c r="L19" s="5">
        <f ca="1">INDIRECT("'"&amp;B19&amp;"'!"&amp;K1&amp;"41")</f>
        <v>4</v>
      </c>
      <c r="M19" s="198">
        <f t="shared" ca="1" si="1"/>
        <v>57.142857142857139</v>
      </c>
      <c r="N19" s="5">
        <f ca="1">RANK(M19,M6:M64,0)</f>
        <v>9</v>
      </c>
      <c r="O19" s="12">
        <f ca="1">INDIRECT("'"&amp;B19&amp;"'!"&amp;K1&amp;"43")</f>
        <v>7</v>
      </c>
      <c r="P19" s="199">
        <f t="shared" ca="1" si="2"/>
        <v>100</v>
      </c>
      <c r="Q19" s="5">
        <f ca="1">RANK(P19,P6:P64,0)</f>
        <v>1</v>
      </c>
      <c r="R19" s="12">
        <f ca="1">INDIRECT("'"&amp;B19&amp;"'!"&amp;K1&amp;"49")</f>
        <v>7</v>
      </c>
      <c r="S19" s="199">
        <f t="shared" ca="1" si="3"/>
        <v>100</v>
      </c>
      <c r="T19" s="5">
        <f ca="1">RANK(S19,S6:S64,0)</f>
        <v>1</v>
      </c>
      <c r="U19" s="12">
        <f ca="1">INDIRECT("'"&amp;B19&amp;"'!"&amp;K1&amp;"51")</f>
        <v>3</v>
      </c>
      <c r="V19" s="199">
        <f t="shared" ca="1" si="4"/>
        <v>15</v>
      </c>
      <c r="W19" s="5">
        <f ca="1">RANK(V19,V6:V64,0)</f>
        <v>46</v>
      </c>
      <c r="X19" s="12">
        <f ca="1">INDIRECT("'"&amp;B19&amp;"'!"&amp;K1&amp;"53")</f>
        <v>2</v>
      </c>
      <c r="Y19" s="199">
        <f t="shared" ca="1" si="5"/>
        <v>10</v>
      </c>
      <c r="Z19" s="5">
        <f ca="1">RANK(Y19,Y6:Y64,0)</f>
        <v>46</v>
      </c>
      <c r="AA19" s="12">
        <f ca="1">INDIRECT("'"&amp;B19&amp;"'!"&amp;K1&amp;"55")</f>
        <v>0</v>
      </c>
      <c r="AB19" s="199">
        <f t="shared" ca="1" si="6"/>
        <v>0</v>
      </c>
      <c r="AC19" s="5">
        <f ca="1">RANK(AB19,AB6:AB64,0)</f>
        <v>8</v>
      </c>
    </row>
    <row r="20" spans="1:29">
      <c r="A20" s="4" t="s">
        <v>81</v>
      </c>
      <c r="B20" s="204">
        <v>205</v>
      </c>
      <c r="C20" s="5">
        <f ca="1">INDIRECT("'"&amp;B20&amp;"'!"&amp;K1&amp;"5")</f>
        <v>37</v>
      </c>
      <c r="D20" s="5">
        <f ca="1">INDIRECT("'"&amp;B20&amp;"'!"&amp;K1&amp;"4")</f>
        <v>31</v>
      </c>
      <c r="E20" s="5">
        <f t="shared" ca="1" si="7"/>
        <v>19.354838709677423</v>
      </c>
      <c r="F20" s="5">
        <f t="shared" ca="1" si="8"/>
        <v>7.4</v>
      </c>
      <c r="G20" s="5">
        <f ca="1">INDIRECT("'"&amp;B20&amp;"'!"&amp;K1&amp;"37")</f>
        <v>17</v>
      </c>
      <c r="H20" s="5">
        <f t="shared" ca="1" si="9"/>
        <v>1.4166666666666667</v>
      </c>
      <c r="I20" s="5">
        <f ca="1">INDIRECT("'"&amp;B20&amp;"'!"&amp;K1&amp;"39")</f>
        <v>0</v>
      </c>
      <c r="J20" s="198">
        <f t="shared" ca="1" si="0"/>
        <v>0</v>
      </c>
      <c r="K20" s="5">
        <f ca="1">RANK(J20,J6:J64,0)</f>
        <v>31</v>
      </c>
      <c r="L20" s="5">
        <f ca="1">INDIRECT("'"&amp;B20&amp;"'!"&amp;K1&amp;"41")</f>
        <v>5</v>
      </c>
      <c r="M20" s="198">
        <f t="shared" ca="1" si="1"/>
        <v>29.411764705882355</v>
      </c>
      <c r="N20" s="5">
        <f ca="1">RANK(M20,M6:M64,0)</f>
        <v>43</v>
      </c>
      <c r="O20" s="12">
        <f ca="1">INDIRECT("'"&amp;B20&amp;"'!"&amp;K1&amp;"43")</f>
        <v>10</v>
      </c>
      <c r="P20" s="199">
        <f t="shared" ca="1" si="2"/>
        <v>58.82352941176471</v>
      </c>
      <c r="Q20" s="5">
        <f ca="1">RANK(P20,P6:P64,0)</f>
        <v>37</v>
      </c>
      <c r="R20" s="12">
        <f ca="1">INDIRECT("'"&amp;B20&amp;"'!"&amp;K1&amp;"49")</f>
        <v>9</v>
      </c>
      <c r="S20" s="199">
        <f t="shared" ca="1" si="3"/>
        <v>52.941176470588239</v>
      </c>
      <c r="T20" s="5">
        <f ca="1">RANK(S20,S6:S64,0)</f>
        <v>35</v>
      </c>
      <c r="U20" s="12">
        <f ca="1">INDIRECT("'"&amp;B20&amp;"'!"&amp;K1&amp;"51")</f>
        <v>2</v>
      </c>
      <c r="V20" s="199">
        <f t="shared" ca="1" si="4"/>
        <v>5.4054054054054053</v>
      </c>
      <c r="W20" s="5">
        <f ca="1">RANK(V20,V6:V64,0)</f>
        <v>58</v>
      </c>
      <c r="X20" s="12">
        <f ca="1">INDIRECT("'"&amp;B20&amp;"'!"&amp;K1&amp;"53")</f>
        <v>2</v>
      </c>
      <c r="Y20" s="199">
        <f t="shared" ca="1" si="5"/>
        <v>5.4054054054054053</v>
      </c>
      <c r="Z20" s="5">
        <f ca="1">RANK(Y20,Y6:Y64,0)</f>
        <v>54</v>
      </c>
      <c r="AA20" s="12">
        <f ca="1">INDIRECT("'"&amp;B20&amp;"'!"&amp;K1&amp;"55")</f>
        <v>1</v>
      </c>
      <c r="AB20" s="199">
        <f t="shared" ca="1" si="6"/>
        <v>2.7027027027027026</v>
      </c>
      <c r="AC20" s="5">
        <f ca="1">RANK(AB20,AB6:AB64,0)</f>
        <v>4</v>
      </c>
    </row>
    <row r="21" spans="1:29">
      <c r="A21" s="4" t="s">
        <v>82</v>
      </c>
      <c r="B21" s="204">
        <v>206</v>
      </c>
      <c r="C21" s="5">
        <f ca="1">INDIRECT("'"&amp;B21&amp;"'!"&amp;K1&amp;"5")</f>
        <v>44</v>
      </c>
      <c r="D21" s="5">
        <f ca="1">INDIRECT("'"&amp;B21&amp;"'!"&amp;K1&amp;"4")</f>
        <v>58</v>
      </c>
      <c r="E21" s="5">
        <f t="shared" ca="1" si="7"/>
        <v>-24.137931034482762</v>
      </c>
      <c r="F21" s="5">
        <f t="shared" ca="1" si="8"/>
        <v>8.8000000000000007</v>
      </c>
      <c r="G21" s="5">
        <f ca="1">INDIRECT("'"&amp;B21&amp;"'!"&amp;K1&amp;"37")</f>
        <v>26</v>
      </c>
      <c r="H21" s="5">
        <f t="shared" ca="1" si="9"/>
        <v>2.1666666666666665</v>
      </c>
      <c r="I21" s="5">
        <f ca="1">INDIRECT("'"&amp;B21&amp;"'!"&amp;K1&amp;"39")</f>
        <v>0</v>
      </c>
      <c r="J21" s="198">
        <f t="shared" ca="1" si="0"/>
        <v>0</v>
      </c>
      <c r="K21" s="5">
        <f ca="1">RANK(J21,J6:J64,0)</f>
        <v>31</v>
      </c>
      <c r="L21" s="5">
        <f ca="1">INDIRECT("'"&amp;B21&amp;"'!"&amp;K1&amp;"41")</f>
        <v>12</v>
      </c>
      <c r="M21" s="198">
        <f t="shared" ca="1" si="1"/>
        <v>46.153846153846153</v>
      </c>
      <c r="N21" s="5">
        <f ca="1">RANK(M21,M6:M64,0)</f>
        <v>21</v>
      </c>
      <c r="O21" s="12">
        <f ca="1">INDIRECT("'"&amp;B21&amp;"'!"&amp;K1&amp;"43")</f>
        <v>13</v>
      </c>
      <c r="P21" s="199">
        <f t="shared" ca="1" si="2"/>
        <v>50</v>
      </c>
      <c r="Q21" s="5">
        <f ca="1">RANK(P21,P6:P64,0)</f>
        <v>48</v>
      </c>
      <c r="R21" s="12">
        <f ca="1">INDIRECT("'"&amp;B21&amp;"'!"&amp;K1&amp;"49")</f>
        <v>14</v>
      </c>
      <c r="S21" s="199">
        <f t="shared" ca="1" si="3"/>
        <v>53.846153846153847</v>
      </c>
      <c r="T21" s="5">
        <f ca="1">RANK(S21,S6:S64,0)</f>
        <v>34</v>
      </c>
      <c r="U21" s="12">
        <f ca="1">INDIRECT("'"&amp;B21&amp;"'!"&amp;K1&amp;"51")</f>
        <v>7</v>
      </c>
      <c r="V21" s="199">
        <f t="shared" ca="1" si="4"/>
        <v>15.909090909090908</v>
      </c>
      <c r="W21" s="5">
        <f ca="1">RANK(V21,V6:V64,0)</f>
        <v>44</v>
      </c>
      <c r="X21" s="12">
        <f ca="1">INDIRECT("'"&amp;B21&amp;"'!"&amp;K1&amp;"53")</f>
        <v>7</v>
      </c>
      <c r="Y21" s="199">
        <f t="shared" ca="1" si="5"/>
        <v>15.909090909090908</v>
      </c>
      <c r="Z21" s="5">
        <f ca="1">RANK(Y21,Y6:Y64,0)</f>
        <v>28</v>
      </c>
      <c r="AA21" s="12">
        <f ca="1">INDIRECT("'"&amp;B21&amp;"'!"&amp;K1&amp;"55")</f>
        <v>0</v>
      </c>
      <c r="AB21" s="199">
        <f t="shared" ca="1" si="6"/>
        <v>0</v>
      </c>
      <c r="AC21" s="5">
        <f ca="1">RANK(AB21,AB6:AB64,0)</f>
        <v>8</v>
      </c>
    </row>
    <row r="22" spans="1:29">
      <c r="A22" s="4" t="s">
        <v>24</v>
      </c>
      <c r="B22" s="204">
        <v>250</v>
      </c>
      <c r="C22" s="5">
        <f ca="1">INDIRECT("'"&amp;B22&amp;"'!"&amp;K1&amp;"5")</f>
        <v>15</v>
      </c>
      <c r="D22" s="5">
        <f ca="1">INDIRECT("'"&amp;B22&amp;"'!"&amp;K1&amp;"4")</f>
        <v>15</v>
      </c>
      <c r="E22" s="5">
        <f t="shared" ca="1" si="7"/>
        <v>0</v>
      </c>
      <c r="F22" s="5">
        <f t="shared" ca="1" si="8"/>
        <v>3</v>
      </c>
      <c r="G22" s="5">
        <f ca="1">INDIRECT("'"&amp;B22&amp;"'!"&amp;K1&amp;"37")</f>
        <v>14</v>
      </c>
      <c r="H22" s="5">
        <f t="shared" ca="1" si="9"/>
        <v>1.1666666666666667</v>
      </c>
      <c r="I22" s="5">
        <f ca="1">INDIRECT("'"&amp;B22&amp;"'!"&amp;K1&amp;"39")</f>
        <v>0</v>
      </c>
      <c r="J22" s="198">
        <f t="shared" ca="1" si="0"/>
        <v>0</v>
      </c>
      <c r="K22" s="5">
        <f ca="1">RANK(J22,J6:J64,0)</f>
        <v>31</v>
      </c>
      <c r="L22" s="5">
        <f ca="1">INDIRECT("'"&amp;B22&amp;"'!"&amp;K1&amp;"41")</f>
        <v>4</v>
      </c>
      <c r="M22" s="198">
        <f t="shared" ca="1" si="1"/>
        <v>28.571428571428569</v>
      </c>
      <c r="N22" s="5">
        <f ca="1">RANK(M22,M6:M64,0)</f>
        <v>46</v>
      </c>
      <c r="O22" s="12">
        <f ca="1">INDIRECT("'"&amp;B22&amp;"'!"&amp;K1&amp;"43")</f>
        <v>9</v>
      </c>
      <c r="P22" s="199">
        <f t="shared" ca="1" si="2"/>
        <v>64.285714285714292</v>
      </c>
      <c r="Q22" s="5">
        <f ca="1">RANK(P22,P6:P64,0)</f>
        <v>27</v>
      </c>
      <c r="R22" s="12">
        <f ca="1">INDIRECT("'"&amp;B22&amp;"'!"&amp;K1&amp;"49")</f>
        <v>6</v>
      </c>
      <c r="S22" s="199">
        <f t="shared" ca="1" si="3"/>
        <v>42.857142857142854</v>
      </c>
      <c r="T22" s="5">
        <f ca="1">RANK(S22,S6:S64,0)</f>
        <v>50</v>
      </c>
      <c r="U22" s="12">
        <f ca="1">INDIRECT("'"&amp;B22&amp;"'!"&amp;K1&amp;"51")</f>
        <v>4</v>
      </c>
      <c r="V22" s="199">
        <f t="shared" ca="1" si="4"/>
        <v>26.666666666666668</v>
      </c>
      <c r="W22" s="5">
        <f ca="1">RANK(V22,V6:V64,0)</f>
        <v>26</v>
      </c>
      <c r="X22" s="12">
        <f ca="1">INDIRECT("'"&amp;B22&amp;"'!"&amp;K1&amp;"53")</f>
        <v>3</v>
      </c>
      <c r="Y22" s="199">
        <f t="shared" ca="1" si="5"/>
        <v>20</v>
      </c>
      <c r="Z22" s="5">
        <f ca="1">RANK(Y22,Y6:Y64,0)</f>
        <v>16</v>
      </c>
      <c r="AA22" s="12">
        <f ca="1">INDIRECT("'"&amp;B22&amp;"'!"&amp;K1&amp;"55")</f>
        <v>0</v>
      </c>
      <c r="AB22" s="199">
        <f t="shared" ca="1" si="6"/>
        <v>0</v>
      </c>
      <c r="AC22" s="5">
        <f ca="1">RANK(AB22,AB6:AB64,0)</f>
        <v>8</v>
      </c>
    </row>
    <row r="23" spans="1:29">
      <c r="A23" s="4" t="s">
        <v>83</v>
      </c>
      <c r="B23" s="204">
        <v>208</v>
      </c>
      <c r="C23" s="5">
        <f ca="1">INDIRECT("'"&amp;B23&amp;"'!"&amp;K1&amp;"5")</f>
        <v>9</v>
      </c>
      <c r="D23" s="5">
        <f ca="1">INDIRECT("'"&amp;B23&amp;"'!"&amp;K1&amp;"4")</f>
        <v>8</v>
      </c>
      <c r="E23" s="5">
        <f t="shared" ca="1" si="7"/>
        <v>12.5</v>
      </c>
      <c r="F23" s="5">
        <f t="shared" ca="1" si="8"/>
        <v>1.8</v>
      </c>
      <c r="G23" s="5">
        <f ca="1">INDIRECT("'"&amp;B23&amp;"'!"&amp;K1&amp;"37")</f>
        <v>7</v>
      </c>
      <c r="H23" s="5">
        <f t="shared" ca="1" si="9"/>
        <v>0.58333333333333337</v>
      </c>
      <c r="I23" s="5">
        <f ca="1">INDIRECT("'"&amp;B23&amp;"'!"&amp;K1&amp;"39")</f>
        <v>0</v>
      </c>
      <c r="J23" s="198">
        <f t="shared" ca="1" si="0"/>
        <v>0</v>
      </c>
      <c r="K23" s="5">
        <f ca="1">RANK(J23,J6:J64,0)</f>
        <v>31</v>
      </c>
      <c r="L23" s="5">
        <f ca="1">INDIRECT("'"&amp;B23&amp;"'!"&amp;K1&amp;"41")</f>
        <v>3</v>
      </c>
      <c r="M23" s="198">
        <f t="shared" ca="1" si="1"/>
        <v>42.857142857142854</v>
      </c>
      <c r="N23" s="5">
        <f ca="1">RANK(M23,M6:M64,0)</f>
        <v>23</v>
      </c>
      <c r="O23" s="12">
        <f ca="1">INDIRECT("'"&amp;B23&amp;"'!"&amp;K1&amp;"43")</f>
        <v>7</v>
      </c>
      <c r="P23" s="199">
        <f t="shared" ca="1" si="2"/>
        <v>100</v>
      </c>
      <c r="Q23" s="5">
        <f ca="1">RANK(P23,P6:P64,0)</f>
        <v>1</v>
      </c>
      <c r="R23" s="12">
        <f ca="1">INDIRECT("'"&amp;B23&amp;"'!"&amp;K1&amp;"49")</f>
        <v>3</v>
      </c>
      <c r="S23" s="199">
        <f t="shared" ca="1" si="3"/>
        <v>42.857142857142854</v>
      </c>
      <c r="T23" s="5">
        <f ca="1">RANK(S23,S6:S64,0)</f>
        <v>50</v>
      </c>
      <c r="U23" s="12">
        <f ca="1">INDIRECT("'"&amp;B23&amp;"'!"&amp;K1&amp;"51")</f>
        <v>0</v>
      </c>
      <c r="V23" s="199">
        <f t="shared" ca="1" si="4"/>
        <v>0</v>
      </c>
      <c r="W23" s="5">
        <f ca="1">RANK(V23,V6:V64,0)</f>
        <v>59</v>
      </c>
      <c r="X23" s="12">
        <f ca="1">INDIRECT("'"&amp;B23&amp;"'!"&amp;K1&amp;"53")</f>
        <v>0</v>
      </c>
      <c r="Y23" s="199">
        <f t="shared" ca="1" si="5"/>
        <v>0</v>
      </c>
      <c r="Z23" s="5">
        <f ca="1">RANK(Y23,Y6:Y64,0)</f>
        <v>57</v>
      </c>
      <c r="AA23" s="12">
        <f ca="1">INDIRECT("'"&amp;B23&amp;"'!"&amp;K1&amp;"55")</f>
        <v>0</v>
      </c>
      <c r="AB23" s="199">
        <f t="shared" ca="1" si="6"/>
        <v>0</v>
      </c>
      <c r="AC23" s="5">
        <f ca="1">RANK(AB23,AB6:AB64,0)</f>
        <v>8</v>
      </c>
    </row>
    <row r="24" spans="1:29">
      <c r="A24" s="4" t="s">
        <v>84</v>
      </c>
      <c r="B24" s="204">
        <v>209</v>
      </c>
      <c r="C24" s="5">
        <f ca="1">INDIRECT("'"&amp;B24&amp;"'!"&amp;K1&amp;"5")</f>
        <v>9</v>
      </c>
      <c r="D24" s="5">
        <f ca="1">INDIRECT("'"&amp;B24&amp;"'!"&amp;K1&amp;"4")</f>
        <v>10</v>
      </c>
      <c r="E24" s="5">
        <f t="shared" ca="1" si="7"/>
        <v>-10</v>
      </c>
      <c r="F24" s="5">
        <f t="shared" ca="1" si="8"/>
        <v>1.8</v>
      </c>
      <c r="G24" s="5">
        <f ca="1">INDIRECT("'"&amp;B24&amp;"'!"&amp;K1&amp;"37")</f>
        <v>9</v>
      </c>
      <c r="H24" s="5">
        <f t="shared" ca="1" si="9"/>
        <v>0.75</v>
      </c>
      <c r="I24" s="5">
        <f ca="1">INDIRECT("'"&amp;B24&amp;"'!"&amp;K1&amp;"39")</f>
        <v>0</v>
      </c>
      <c r="J24" s="198">
        <f t="shared" ca="1" si="0"/>
        <v>0</v>
      </c>
      <c r="K24" s="5">
        <f ca="1">RANK(J24,J6:J64,0)</f>
        <v>31</v>
      </c>
      <c r="L24" s="5">
        <f ca="1">INDIRECT("'"&amp;B24&amp;"'!"&amp;K1&amp;"41")</f>
        <v>6</v>
      </c>
      <c r="M24" s="198">
        <f t="shared" ca="1" si="1"/>
        <v>66.666666666666657</v>
      </c>
      <c r="N24" s="5">
        <f ca="1">RANK(M24,M6:M64,0)</f>
        <v>3</v>
      </c>
      <c r="O24" s="12">
        <f ca="1">INDIRECT("'"&amp;B24&amp;"'!"&amp;K1&amp;"43")</f>
        <v>6</v>
      </c>
      <c r="P24" s="199">
        <f t="shared" ca="1" si="2"/>
        <v>66.666666666666657</v>
      </c>
      <c r="Q24" s="5">
        <f ca="1">RANK(P24,P6:P64,0)</f>
        <v>22</v>
      </c>
      <c r="R24" s="12">
        <f ca="1">INDIRECT("'"&amp;B24&amp;"'!"&amp;K1&amp;"49")</f>
        <v>6</v>
      </c>
      <c r="S24" s="199">
        <f t="shared" ca="1" si="3"/>
        <v>66.666666666666657</v>
      </c>
      <c r="T24" s="5">
        <f ca="1">RANK(S24,S6:S64,0)</f>
        <v>18</v>
      </c>
      <c r="U24" s="12">
        <f ca="1">INDIRECT("'"&amp;B24&amp;"'!"&amp;K1&amp;"51")</f>
        <v>2</v>
      </c>
      <c r="V24" s="199">
        <f t="shared" ca="1" si="4"/>
        <v>22.222222222222221</v>
      </c>
      <c r="W24" s="5">
        <f ca="1">RANK(V24,V6:V64,0)</f>
        <v>31</v>
      </c>
      <c r="X24" s="12">
        <f ca="1">INDIRECT("'"&amp;B24&amp;"'!"&amp;K1&amp;"53")</f>
        <v>1</v>
      </c>
      <c r="Y24" s="199">
        <f t="shared" ca="1" si="5"/>
        <v>11.111111111111111</v>
      </c>
      <c r="Z24" s="5">
        <f ca="1">RANK(Y24,Y6:Y64,0)</f>
        <v>40</v>
      </c>
      <c r="AA24" s="12">
        <f ca="1">INDIRECT("'"&amp;B24&amp;"'!"&amp;K1&amp;"55")</f>
        <v>0</v>
      </c>
      <c r="AB24" s="199">
        <f t="shared" ca="1" si="6"/>
        <v>0</v>
      </c>
      <c r="AC24" s="5">
        <f ca="1">RANK(AB24,AB6:AB64,0)</f>
        <v>8</v>
      </c>
    </row>
    <row r="25" spans="1:29">
      <c r="A25" s="4" t="s">
        <v>25</v>
      </c>
      <c r="B25" s="204">
        <v>210</v>
      </c>
      <c r="C25" s="5">
        <f ca="1">INDIRECT("'"&amp;B25&amp;"'!"&amp;K1&amp;"5")</f>
        <v>34</v>
      </c>
      <c r="D25" s="5">
        <f ca="1">INDIRECT("'"&amp;B25&amp;"'!"&amp;K1&amp;"4")</f>
        <v>35</v>
      </c>
      <c r="E25" s="5">
        <f t="shared" ca="1" si="7"/>
        <v>-2.8571428571428612</v>
      </c>
      <c r="F25" s="5">
        <f t="shared" ca="1" si="8"/>
        <v>6.8</v>
      </c>
      <c r="G25" s="5">
        <f ca="1">INDIRECT("'"&amp;B25&amp;"'!"&amp;K1&amp;"37")</f>
        <v>21</v>
      </c>
      <c r="H25" s="5">
        <f t="shared" ca="1" si="9"/>
        <v>1.75</v>
      </c>
      <c r="I25" s="5">
        <f ca="1">INDIRECT("'"&amp;B25&amp;"'!"&amp;K1&amp;"39")</f>
        <v>1</v>
      </c>
      <c r="J25" s="198">
        <f t="shared" ca="1" si="0"/>
        <v>4.7619047619047619</v>
      </c>
      <c r="K25" s="5">
        <f ca="1">RANK(J25,J6:J64,0)</f>
        <v>23</v>
      </c>
      <c r="L25" s="5">
        <f ca="1">INDIRECT("'"&amp;B25&amp;"'!"&amp;K1&amp;"41")</f>
        <v>5</v>
      </c>
      <c r="M25" s="198">
        <f t="shared" ca="1" si="1"/>
        <v>23.809523809523807</v>
      </c>
      <c r="N25" s="5">
        <f ca="1">RANK(M25,M6:M64,0)</f>
        <v>54</v>
      </c>
      <c r="O25" s="12">
        <f ca="1">INDIRECT("'"&amp;B25&amp;"'!"&amp;K1&amp;"43")</f>
        <v>16</v>
      </c>
      <c r="P25" s="199">
        <f t="shared" ca="1" si="2"/>
        <v>76.19047619047619</v>
      </c>
      <c r="Q25" s="5">
        <f ca="1">RANK(P25,P6:P64,0)</f>
        <v>13</v>
      </c>
      <c r="R25" s="12">
        <f ca="1">INDIRECT("'"&amp;B25&amp;"'!"&amp;K1&amp;"49")</f>
        <v>17</v>
      </c>
      <c r="S25" s="199">
        <f t="shared" ca="1" si="3"/>
        <v>80.952380952380949</v>
      </c>
      <c r="T25" s="5">
        <f ca="1">RANK(S25,S6:S64,0)</f>
        <v>7</v>
      </c>
      <c r="U25" s="12">
        <f ca="1">INDIRECT("'"&amp;B25&amp;"'!"&amp;K1&amp;"51")</f>
        <v>11</v>
      </c>
      <c r="V25" s="199">
        <f t="shared" ca="1" si="4"/>
        <v>32.352941176470587</v>
      </c>
      <c r="W25" s="5">
        <f ca="1">RANK(V25,V6:V64,0)</f>
        <v>14</v>
      </c>
      <c r="X25" s="12">
        <f ca="1">INDIRECT("'"&amp;B25&amp;"'!"&amp;K1&amp;"53")</f>
        <v>4</v>
      </c>
      <c r="Y25" s="199">
        <f t="shared" ca="1" si="5"/>
        <v>11.76470588235294</v>
      </c>
      <c r="Z25" s="5">
        <f ca="1">RANK(Y25,Y6:Y64,0)</f>
        <v>38</v>
      </c>
      <c r="AA25" s="12">
        <f ca="1">INDIRECT("'"&amp;B25&amp;"'!"&amp;K1&amp;"55")</f>
        <v>0</v>
      </c>
      <c r="AB25" s="199">
        <f t="shared" ca="1" si="6"/>
        <v>0</v>
      </c>
      <c r="AC25" s="5">
        <f ca="1">RANK(AB25,AB6:AB64,0)</f>
        <v>8</v>
      </c>
    </row>
    <row r="26" spans="1:29">
      <c r="A26" s="4" t="s">
        <v>85</v>
      </c>
      <c r="B26" s="204">
        <v>211</v>
      </c>
      <c r="C26" s="5">
        <f ca="1">INDIRECT("'"&amp;B26&amp;"'!"&amp;K1&amp;"5")</f>
        <v>108</v>
      </c>
      <c r="D26" s="5">
        <f ca="1">INDIRECT("'"&amp;B26&amp;"'!"&amp;K1&amp;"4")</f>
        <v>108</v>
      </c>
      <c r="E26" s="5">
        <f t="shared" ca="1" si="7"/>
        <v>0</v>
      </c>
      <c r="F26" s="5">
        <f t="shared" ca="1" si="8"/>
        <v>21.6</v>
      </c>
      <c r="G26" s="5">
        <f ca="1">INDIRECT("'"&amp;B26&amp;"'!"&amp;K1&amp;"37")</f>
        <v>55</v>
      </c>
      <c r="H26" s="5">
        <f t="shared" ca="1" si="9"/>
        <v>4.583333333333333</v>
      </c>
      <c r="I26" s="5">
        <f ca="1">INDIRECT("'"&amp;B26&amp;"'!"&amp;K1&amp;"39")</f>
        <v>3</v>
      </c>
      <c r="J26" s="198">
        <f t="shared" ca="1" si="0"/>
        <v>5.4545454545454541</v>
      </c>
      <c r="K26" s="5">
        <f ca="1">RANK(J26,J6:J64,0)</f>
        <v>18</v>
      </c>
      <c r="L26" s="5">
        <f ca="1">INDIRECT("'"&amp;B26&amp;"'!"&amp;K1&amp;"41")</f>
        <v>15</v>
      </c>
      <c r="M26" s="198">
        <f t="shared" ca="1" si="1"/>
        <v>27.27272727272727</v>
      </c>
      <c r="N26" s="5">
        <f ca="1">RANK(M26,M6:M64,0)</f>
        <v>48</v>
      </c>
      <c r="O26" s="12">
        <f ca="1">INDIRECT("'"&amp;B26&amp;"'!"&amp;K1&amp;"43")</f>
        <v>33</v>
      </c>
      <c r="P26" s="199">
        <f t="shared" ca="1" si="2"/>
        <v>60</v>
      </c>
      <c r="Q26" s="5">
        <f ca="1">RANK(P26,P6:P64,0)</f>
        <v>34</v>
      </c>
      <c r="R26" s="12">
        <f ca="1">INDIRECT("'"&amp;B26&amp;"'!"&amp;K1&amp;"49")</f>
        <v>30</v>
      </c>
      <c r="S26" s="199">
        <f t="shared" ca="1" si="3"/>
        <v>54.54545454545454</v>
      </c>
      <c r="T26" s="5">
        <f ca="1">RANK(S26,S6:S64,0)</f>
        <v>33</v>
      </c>
      <c r="U26" s="12">
        <f ca="1">INDIRECT("'"&amp;B26&amp;"'!"&amp;K1&amp;"51")</f>
        <v>13</v>
      </c>
      <c r="V26" s="199">
        <f t="shared" ca="1" si="4"/>
        <v>12.037037037037036</v>
      </c>
      <c r="W26" s="5">
        <f ca="1">RANK(V26,V6:V64,0)</f>
        <v>50</v>
      </c>
      <c r="X26" s="12">
        <f ca="1">INDIRECT("'"&amp;B26&amp;"'!"&amp;K1&amp;"53")</f>
        <v>12</v>
      </c>
      <c r="Y26" s="199">
        <f t="shared" ca="1" si="5"/>
        <v>11.111111111111111</v>
      </c>
      <c r="Z26" s="5">
        <f ca="1">RANK(Y26,Y6:Y64,0)</f>
        <v>40</v>
      </c>
      <c r="AA26" s="12">
        <f ca="1">INDIRECT("'"&amp;B26&amp;"'!"&amp;K1&amp;"55")</f>
        <v>0</v>
      </c>
      <c r="AB26" s="199">
        <f t="shared" ca="1" si="6"/>
        <v>0</v>
      </c>
      <c r="AC26" s="5">
        <f ca="1">RANK(AB26,AB6:AB64,0)</f>
        <v>8</v>
      </c>
    </row>
    <row r="27" spans="1:29">
      <c r="A27" s="4" t="s">
        <v>86</v>
      </c>
      <c r="B27" s="204">
        <v>212</v>
      </c>
      <c r="C27" s="5">
        <f ca="1">INDIRECT("'"&amp;B27&amp;"'!"&amp;K1&amp;"5")</f>
        <v>53</v>
      </c>
      <c r="D27" s="5">
        <f ca="1">INDIRECT("'"&amp;B27&amp;"'!"&amp;K1&amp;"4")</f>
        <v>39</v>
      </c>
      <c r="E27" s="5">
        <f t="shared" ca="1" si="7"/>
        <v>35.897435897435912</v>
      </c>
      <c r="F27" s="5">
        <f t="shared" ca="1" si="8"/>
        <v>10.6</v>
      </c>
      <c r="G27" s="5">
        <f ca="1">INDIRECT("'"&amp;B27&amp;"'!"&amp;K1&amp;"37")</f>
        <v>29</v>
      </c>
      <c r="H27" s="5">
        <f t="shared" ca="1" si="9"/>
        <v>2.4166666666666665</v>
      </c>
      <c r="I27" s="5">
        <f ca="1">INDIRECT("'"&amp;B27&amp;"'!"&amp;K1&amp;"39")</f>
        <v>0</v>
      </c>
      <c r="J27" s="198">
        <f t="shared" ca="1" si="0"/>
        <v>0</v>
      </c>
      <c r="K27" s="5">
        <f ca="1">RANK(J27,J6:J64,0)</f>
        <v>31</v>
      </c>
      <c r="L27" s="5">
        <f ca="1">INDIRECT("'"&amp;B27&amp;"'!"&amp;K1&amp;"41")</f>
        <v>12</v>
      </c>
      <c r="M27" s="198">
        <f t="shared" ca="1" si="1"/>
        <v>41.379310344827587</v>
      </c>
      <c r="N27" s="5">
        <f ca="1">RANK(M27,M6:M64,0)</f>
        <v>24</v>
      </c>
      <c r="O27" s="12">
        <f ca="1">INDIRECT("'"&amp;B27&amp;"'!"&amp;K1&amp;"43")</f>
        <v>17</v>
      </c>
      <c r="P27" s="199">
        <f t="shared" ca="1" si="2"/>
        <v>58.620689655172406</v>
      </c>
      <c r="Q27" s="5">
        <f ca="1">RANK(P27,P6:P64,0)</f>
        <v>38</v>
      </c>
      <c r="R27" s="12">
        <f ca="1">INDIRECT("'"&amp;B27&amp;"'!"&amp;K1&amp;"49")</f>
        <v>11</v>
      </c>
      <c r="S27" s="199">
        <f t="shared" ca="1" si="3"/>
        <v>37.931034482758619</v>
      </c>
      <c r="T27" s="5">
        <f ca="1">RANK(S27,S6:S64,0)</f>
        <v>53</v>
      </c>
      <c r="U27" s="12">
        <f ca="1">INDIRECT("'"&amp;B27&amp;"'!"&amp;K1&amp;"51")</f>
        <v>14</v>
      </c>
      <c r="V27" s="199">
        <f t="shared" ca="1" si="4"/>
        <v>26.415094339622641</v>
      </c>
      <c r="W27" s="5">
        <f ca="1">RANK(V27,V6:V64,0)</f>
        <v>27</v>
      </c>
      <c r="X27" s="12">
        <f ca="1">INDIRECT("'"&amp;B27&amp;"'!"&amp;K1&amp;"53")</f>
        <v>14</v>
      </c>
      <c r="Y27" s="199">
        <f t="shared" ca="1" si="5"/>
        <v>26.415094339622641</v>
      </c>
      <c r="Z27" s="5">
        <f ca="1">RANK(Y27,Y6:Y64,0)</f>
        <v>6</v>
      </c>
      <c r="AA27" s="12">
        <f ca="1">INDIRECT("'"&amp;B27&amp;"'!"&amp;K1&amp;"55")</f>
        <v>2</v>
      </c>
      <c r="AB27" s="199">
        <f t="shared" ca="1" si="6"/>
        <v>3.7735849056603774</v>
      </c>
      <c r="AC27" s="5">
        <f ca="1">RANK(AB27,AB6:AB64,0)</f>
        <v>3</v>
      </c>
    </row>
    <row r="28" spans="1:29">
      <c r="A28" s="4" t="s">
        <v>87</v>
      </c>
      <c r="B28" s="204">
        <v>213</v>
      </c>
      <c r="C28" s="5">
        <f ca="1">INDIRECT("'"&amp;B28&amp;"'!"&amp;K1&amp;"5")</f>
        <v>25</v>
      </c>
      <c r="D28" s="5">
        <f ca="1">INDIRECT("'"&amp;B28&amp;"'!"&amp;K1&amp;"4")</f>
        <v>23</v>
      </c>
      <c r="E28" s="5">
        <f t="shared" ca="1" si="7"/>
        <v>8.6956521739130324</v>
      </c>
      <c r="F28" s="5">
        <f t="shared" ca="1" si="8"/>
        <v>5</v>
      </c>
      <c r="G28" s="5">
        <f ca="1">INDIRECT("'"&amp;B28&amp;"'!"&amp;K1&amp;"37")</f>
        <v>23</v>
      </c>
      <c r="H28" s="5">
        <f t="shared" ca="1" si="9"/>
        <v>1.9166666666666667</v>
      </c>
      <c r="I28" s="5">
        <f ca="1">INDIRECT("'"&amp;B28&amp;"'!"&amp;K1&amp;"39")</f>
        <v>1</v>
      </c>
      <c r="J28" s="198">
        <f t="shared" ca="1" si="0"/>
        <v>4.3478260869565215</v>
      </c>
      <c r="K28" s="5">
        <f ca="1">RANK(J28,J6:J64,0)</f>
        <v>25</v>
      </c>
      <c r="L28" s="5">
        <f ca="1">INDIRECT("'"&amp;B28&amp;"'!"&amp;K1&amp;"41")</f>
        <v>6</v>
      </c>
      <c r="M28" s="198">
        <f t="shared" ca="1" si="1"/>
        <v>26.086956521739129</v>
      </c>
      <c r="N28" s="5">
        <f ca="1">RANK(M28,M6:M64,0)</f>
        <v>50</v>
      </c>
      <c r="O28" s="12">
        <f ca="1">INDIRECT("'"&amp;B28&amp;"'!"&amp;K1&amp;"43")</f>
        <v>14</v>
      </c>
      <c r="P28" s="199">
        <f t="shared" ca="1" si="2"/>
        <v>60.869565217391312</v>
      </c>
      <c r="Q28" s="5">
        <f ca="1">RANK(P28,P6:P64,0)</f>
        <v>33</v>
      </c>
      <c r="R28" s="12">
        <f ca="1">INDIRECT("'"&amp;B28&amp;"'!"&amp;K1&amp;"49")</f>
        <v>15</v>
      </c>
      <c r="S28" s="199">
        <f t="shared" ca="1" si="3"/>
        <v>65.217391304347828</v>
      </c>
      <c r="T28" s="5">
        <f ca="1">RANK(S28,S6:S64,0)</f>
        <v>20</v>
      </c>
      <c r="U28" s="12">
        <f ca="1">INDIRECT("'"&amp;B28&amp;"'!"&amp;K1&amp;"51")</f>
        <v>2</v>
      </c>
      <c r="V28" s="199">
        <f t="shared" ca="1" si="4"/>
        <v>8</v>
      </c>
      <c r="W28" s="5">
        <f ca="1">RANK(V28,V6:V64,0)</f>
        <v>54</v>
      </c>
      <c r="X28" s="12">
        <f ca="1">INDIRECT("'"&amp;B28&amp;"'!"&amp;K1&amp;"53")</f>
        <v>0</v>
      </c>
      <c r="Y28" s="199">
        <f t="shared" ca="1" si="5"/>
        <v>0</v>
      </c>
      <c r="Z28" s="5">
        <f ca="1">RANK(Y28,Y6:Y64,0)</f>
        <v>57</v>
      </c>
      <c r="AA28" s="12">
        <f ca="1">INDIRECT("'"&amp;B28&amp;"'!"&amp;K1&amp;"55")</f>
        <v>0</v>
      </c>
      <c r="AB28" s="199">
        <f t="shared" ca="1" si="6"/>
        <v>0</v>
      </c>
      <c r="AC28" s="5">
        <f ca="1">RANK(AB28,AB6:AB64,0)</f>
        <v>8</v>
      </c>
    </row>
    <row r="29" spans="1:29">
      <c r="A29" s="4" t="s">
        <v>26</v>
      </c>
      <c r="B29" s="204">
        <v>83</v>
      </c>
      <c r="C29" s="5">
        <f ca="1">INDIRECT("'"&amp;B29&amp;"'!"&amp;K1&amp;"5")</f>
        <v>91</v>
      </c>
      <c r="D29" s="5">
        <f ca="1">INDIRECT("'"&amp;B29&amp;"'!"&amp;K1&amp;"4")</f>
        <v>76</v>
      </c>
      <c r="E29" s="5">
        <f t="shared" ca="1" si="7"/>
        <v>19.736842105263165</v>
      </c>
      <c r="F29" s="5">
        <f t="shared" ca="1" si="8"/>
        <v>18.2</v>
      </c>
      <c r="G29" s="5">
        <f ca="1">INDIRECT("'"&amp;B29&amp;"'!"&amp;K1&amp;"37")</f>
        <v>48</v>
      </c>
      <c r="H29" s="5">
        <f t="shared" ca="1" si="9"/>
        <v>4</v>
      </c>
      <c r="I29" s="5">
        <f ca="1">INDIRECT("'"&amp;B29&amp;"'!"&amp;K1&amp;"39")</f>
        <v>0</v>
      </c>
      <c r="J29" s="198">
        <f t="shared" ca="1" si="0"/>
        <v>0</v>
      </c>
      <c r="K29" s="5">
        <f ca="1">RANK(J29,J6:J64,0)</f>
        <v>31</v>
      </c>
      <c r="L29" s="5">
        <f ca="1">INDIRECT("'"&amp;B29&amp;"'!"&amp;K1&amp;"41")</f>
        <v>14</v>
      </c>
      <c r="M29" s="198">
        <f t="shared" ca="1" si="1"/>
        <v>29.166666666666668</v>
      </c>
      <c r="N29" s="5">
        <f ca="1">RANK(M29,M6:M64,0)</f>
        <v>45</v>
      </c>
      <c r="O29" s="12">
        <f ca="1">INDIRECT("'"&amp;B29&amp;"'!"&amp;K1&amp;"43")</f>
        <v>26</v>
      </c>
      <c r="P29" s="199">
        <f t="shared" ca="1" si="2"/>
        <v>54.166666666666664</v>
      </c>
      <c r="Q29" s="5">
        <f ca="1">RANK(P29,P6:P64,0)</f>
        <v>44</v>
      </c>
      <c r="R29" s="12">
        <f ca="1">INDIRECT("'"&amp;B29&amp;"'!"&amp;K1&amp;"49")</f>
        <v>31</v>
      </c>
      <c r="S29" s="199">
        <f t="shared" ca="1" si="3"/>
        <v>64.583333333333343</v>
      </c>
      <c r="T29" s="5">
        <f ca="1">RANK(S29,S6:S64,0)</f>
        <v>24</v>
      </c>
      <c r="U29" s="12">
        <f ca="1">INDIRECT("'"&amp;B29&amp;"'!"&amp;K1&amp;"51")</f>
        <v>22</v>
      </c>
      <c r="V29" s="199">
        <f t="shared" ca="1" si="4"/>
        <v>24.175824175824175</v>
      </c>
      <c r="W29" s="5">
        <f ca="1">RANK(V29,V6:V64,0)</f>
        <v>29</v>
      </c>
      <c r="X29" s="12">
        <f ca="1">INDIRECT("'"&amp;B29&amp;"'!"&amp;K1&amp;"53")</f>
        <v>13</v>
      </c>
      <c r="Y29" s="199">
        <f t="shared" ca="1" si="5"/>
        <v>14.285714285714285</v>
      </c>
      <c r="Z29" s="5">
        <f ca="1">RANK(Y29,Y6:Y64,0)</f>
        <v>34</v>
      </c>
      <c r="AA29" s="12">
        <f ca="1">INDIRECT("'"&amp;B29&amp;"'!"&amp;K1&amp;"55")</f>
        <v>0</v>
      </c>
      <c r="AB29" s="199">
        <f t="shared" ca="1" si="6"/>
        <v>0</v>
      </c>
      <c r="AC29" s="5">
        <f ca="1">RANK(AB29,AB6:AB64,0)</f>
        <v>8</v>
      </c>
    </row>
    <row r="30" spans="1:29">
      <c r="A30" s="4" t="s">
        <v>27</v>
      </c>
      <c r="B30" s="204">
        <v>66</v>
      </c>
      <c r="C30" s="5">
        <f ca="1">INDIRECT("'"&amp;B30&amp;"'!"&amp;K1&amp;"5")</f>
        <v>54</v>
      </c>
      <c r="D30" s="5">
        <f ca="1">INDIRECT("'"&amp;B30&amp;"'!"&amp;K1&amp;"4")</f>
        <v>45</v>
      </c>
      <c r="E30" s="5">
        <f t="shared" ca="1" si="7"/>
        <v>20</v>
      </c>
      <c r="F30" s="5">
        <f t="shared" ca="1" si="8"/>
        <v>10.8</v>
      </c>
      <c r="G30" s="5">
        <f ca="1">INDIRECT("'"&amp;B30&amp;"'!"&amp;K1&amp;"37")</f>
        <v>31</v>
      </c>
      <c r="H30" s="5">
        <f t="shared" ca="1" si="9"/>
        <v>2.5833333333333335</v>
      </c>
      <c r="I30" s="5">
        <f ca="1">INDIRECT("'"&amp;B30&amp;"'!"&amp;K1&amp;"39")</f>
        <v>0</v>
      </c>
      <c r="J30" s="198">
        <f t="shared" ca="1" si="0"/>
        <v>0</v>
      </c>
      <c r="K30" s="5">
        <f ca="1">RANK(J30,J6:J64,0)</f>
        <v>31</v>
      </c>
      <c r="L30" s="5">
        <f ca="1">INDIRECT("'"&amp;B30&amp;"'!"&amp;K1&amp;"41")</f>
        <v>19</v>
      </c>
      <c r="M30" s="198">
        <f t="shared" ca="1" si="1"/>
        <v>61.29032258064516</v>
      </c>
      <c r="N30" s="5">
        <f ca="1">RANK(M30,M6:M64,0)</f>
        <v>6</v>
      </c>
      <c r="O30" s="12">
        <f ca="1">INDIRECT("'"&amp;B30&amp;"'!"&amp;K1&amp;"43")</f>
        <v>29</v>
      </c>
      <c r="P30" s="199">
        <f t="shared" ca="1" si="2"/>
        <v>93.548387096774192</v>
      </c>
      <c r="Q30" s="5">
        <f ca="1">RANK(P30,P6:P64,0)</f>
        <v>4</v>
      </c>
      <c r="R30" s="12">
        <f ca="1">INDIRECT("'"&amp;B30&amp;"'!"&amp;K1&amp;"49")</f>
        <v>24</v>
      </c>
      <c r="S30" s="199">
        <f t="shared" ca="1" si="3"/>
        <v>77.41935483870968</v>
      </c>
      <c r="T30" s="5">
        <f ca="1">RANK(S30,S6:S64,0)</f>
        <v>11</v>
      </c>
      <c r="U30" s="12">
        <f ca="1">INDIRECT("'"&amp;B30&amp;"'!"&amp;K1&amp;"51")</f>
        <v>10</v>
      </c>
      <c r="V30" s="199">
        <f t="shared" ca="1" si="4"/>
        <v>18.518518518518519</v>
      </c>
      <c r="W30" s="5">
        <f ca="1">RANK(V30,V6:V64,0)</f>
        <v>37</v>
      </c>
      <c r="X30" s="12">
        <f ca="1">INDIRECT("'"&amp;B30&amp;"'!"&amp;K1&amp;"53")</f>
        <v>6</v>
      </c>
      <c r="Y30" s="199">
        <f t="shared" ca="1" si="5"/>
        <v>11.111111111111111</v>
      </c>
      <c r="Z30" s="5">
        <f ca="1">RANK(Y30,Y6:Y64,0)</f>
        <v>40</v>
      </c>
      <c r="AA30" s="12">
        <f ca="1">INDIRECT("'"&amp;B30&amp;"'!"&amp;K1&amp;"55")</f>
        <v>0</v>
      </c>
      <c r="AB30" s="199">
        <f t="shared" ca="1" si="6"/>
        <v>0</v>
      </c>
      <c r="AC30" s="5">
        <f ca="1">RANK(AB30,AB6:AB64,0)</f>
        <v>8</v>
      </c>
    </row>
    <row r="31" spans="1:29">
      <c r="A31" s="4" t="s">
        <v>88</v>
      </c>
      <c r="B31" s="204">
        <v>215</v>
      </c>
      <c r="C31" s="5">
        <f ca="1">INDIRECT("'"&amp;B31&amp;"'!"&amp;K1&amp;"5")</f>
        <v>11</v>
      </c>
      <c r="D31" s="5">
        <f ca="1">INDIRECT("'"&amp;B31&amp;"'!"&amp;K1&amp;"4")</f>
        <v>11</v>
      </c>
      <c r="E31" s="5">
        <f t="shared" ca="1" si="7"/>
        <v>0</v>
      </c>
      <c r="F31" s="5">
        <f t="shared" ca="1" si="8"/>
        <v>2.2000000000000002</v>
      </c>
      <c r="G31" s="5">
        <f ca="1">INDIRECT("'"&amp;B31&amp;"'!"&amp;K1&amp;"37")</f>
        <v>7</v>
      </c>
      <c r="H31" s="5">
        <f t="shared" ca="1" si="9"/>
        <v>0.58333333333333337</v>
      </c>
      <c r="I31" s="5">
        <f ca="1">INDIRECT("'"&amp;B31&amp;"'!"&amp;K1&amp;"39")</f>
        <v>0</v>
      </c>
      <c r="J31" s="198">
        <f t="shared" ca="1" si="0"/>
        <v>0</v>
      </c>
      <c r="K31" s="5">
        <f ca="1">RANK(J31,J6:J64,0)</f>
        <v>31</v>
      </c>
      <c r="L31" s="5">
        <f ca="1">INDIRECT("'"&amp;B31&amp;"'!"&amp;K1&amp;"41")</f>
        <v>2</v>
      </c>
      <c r="M31" s="198">
        <f t="shared" ca="1" si="1"/>
        <v>28.571428571428569</v>
      </c>
      <c r="N31" s="5">
        <f ca="1">RANK(M31,M6:M64,0)</f>
        <v>46</v>
      </c>
      <c r="O31" s="12">
        <f ca="1">INDIRECT("'"&amp;B31&amp;"'!"&amp;K1&amp;"43")</f>
        <v>6</v>
      </c>
      <c r="P31" s="199">
        <f t="shared" ca="1" si="2"/>
        <v>85.714285714285708</v>
      </c>
      <c r="Q31" s="5">
        <f ca="1">RANK(P31,P6:P64,0)</f>
        <v>6</v>
      </c>
      <c r="R31" s="12">
        <f ca="1">INDIRECT("'"&amp;B31&amp;"'!"&amp;K1&amp;"49")</f>
        <v>5</v>
      </c>
      <c r="S31" s="199">
        <f t="shared" ca="1" si="3"/>
        <v>71.428571428571431</v>
      </c>
      <c r="T31" s="5">
        <f ca="1">RANK(S31,S6:S64,0)</f>
        <v>15</v>
      </c>
      <c r="U31" s="12">
        <f ca="1">INDIRECT("'"&amp;B31&amp;"'!"&amp;K1&amp;"51")</f>
        <v>1</v>
      </c>
      <c r="V31" s="199">
        <f t="shared" ca="1" si="4"/>
        <v>9.0909090909090917</v>
      </c>
      <c r="W31" s="5">
        <f ca="1">RANK(V31,V6:V64,0)</f>
        <v>53</v>
      </c>
      <c r="X31" s="12">
        <f ca="1">INDIRECT("'"&amp;B31&amp;"'!"&amp;K1&amp;"53")</f>
        <v>0</v>
      </c>
      <c r="Y31" s="199">
        <f t="shared" ca="1" si="5"/>
        <v>0</v>
      </c>
      <c r="Z31" s="5">
        <f ca="1">RANK(Y31,Y6:Y64,0)</f>
        <v>57</v>
      </c>
      <c r="AA31" s="12">
        <f ca="1">INDIRECT("'"&amp;B31&amp;"'!"&amp;K1&amp;"55")</f>
        <v>0</v>
      </c>
      <c r="AB31" s="199">
        <f t="shared" ca="1" si="6"/>
        <v>0</v>
      </c>
      <c r="AC31" s="5">
        <f ca="1">RANK(AB31,AB6:AB64,0)</f>
        <v>8</v>
      </c>
    </row>
    <row r="32" spans="1:29">
      <c r="A32" s="4" t="s">
        <v>401</v>
      </c>
      <c r="B32" s="204">
        <v>216</v>
      </c>
      <c r="C32" s="5">
        <f ca="1">INDIRECT("'"&amp;B32&amp;"'!"&amp;K1&amp;"5")</f>
        <v>24</v>
      </c>
      <c r="D32" s="5">
        <f ca="1">INDIRECT("'"&amp;B32&amp;"'!"&amp;K1&amp;"4")</f>
        <v>31</v>
      </c>
      <c r="E32" s="5">
        <f t="shared" ca="1" si="7"/>
        <v>-22.58064516129032</v>
      </c>
      <c r="F32" s="5">
        <f t="shared" ca="1" si="8"/>
        <v>4.8</v>
      </c>
      <c r="G32" s="5">
        <f ca="1">INDIRECT("'"&amp;B32&amp;"'!"&amp;K1&amp;"37")</f>
        <v>21</v>
      </c>
      <c r="H32" s="5">
        <f t="shared" ca="1" si="9"/>
        <v>1.75</v>
      </c>
      <c r="I32" s="5">
        <f ca="1">INDIRECT("'"&amp;B32&amp;"'!"&amp;K1&amp;"39")</f>
        <v>0</v>
      </c>
      <c r="J32" s="198">
        <f t="shared" ca="1" si="0"/>
        <v>0</v>
      </c>
      <c r="K32" s="5">
        <f ca="1">RANK(J32,J6:J64,0)</f>
        <v>31</v>
      </c>
      <c r="L32" s="5">
        <f ca="1">INDIRECT("'"&amp;B32&amp;"'!"&amp;K1&amp;"41")</f>
        <v>8</v>
      </c>
      <c r="M32" s="198">
        <f t="shared" ca="1" si="1"/>
        <v>38.095238095238095</v>
      </c>
      <c r="N32" s="5">
        <f ca="1">RANK(M32,M6:M64,0)</f>
        <v>30</v>
      </c>
      <c r="O32" s="12">
        <f ca="1">INDIRECT("'"&amp;B32&amp;"'!"&amp;K1&amp;"43")</f>
        <v>12</v>
      </c>
      <c r="P32" s="199">
        <f t="shared" ca="1" si="2"/>
        <v>57.142857142857139</v>
      </c>
      <c r="Q32" s="5">
        <f ca="1">RANK(P32,P6:P64,0)</f>
        <v>40</v>
      </c>
      <c r="R32" s="12">
        <f ca="1">INDIRECT("'"&amp;B32&amp;"'!"&amp;K1&amp;"49")</f>
        <v>13</v>
      </c>
      <c r="S32" s="199">
        <f t="shared" ca="1" si="3"/>
        <v>61.904761904761905</v>
      </c>
      <c r="T32" s="5">
        <f ca="1">RANK(S32,S6:S64,0)</f>
        <v>26</v>
      </c>
      <c r="U32" s="12">
        <f ca="1">INDIRECT("'"&amp;B32&amp;"'!"&amp;K1&amp;"51")</f>
        <v>4</v>
      </c>
      <c r="V32" s="199">
        <f t="shared" ca="1" si="4"/>
        <v>16.666666666666664</v>
      </c>
      <c r="W32" s="5">
        <f ca="1">RANK(V32,V6:V64,0)</f>
        <v>42</v>
      </c>
      <c r="X32" s="12">
        <f ca="1">INDIRECT("'"&amp;B32&amp;"'!"&amp;K1&amp;"53")</f>
        <v>3</v>
      </c>
      <c r="Y32" s="199">
        <f t="shared" ca="1" si="5"/>
        <v>12.5</v>
      </c>
      <c r="Z32" s="5">
        <f ca="1">RANK(Y32,Y6:Y64,0)</f>
        <v>37</v>
      </c>
      <c r="AA32" s="12">
        <f ca="1">INDIRECT("'"&amp;B32&amp;"'!"&amp;K1&amp;"55")</f>
        <v>0</v>
      </c>
      <c r="AB32" s="199">
        <f t="shared" ca="1" si="6"/>
        <v>0</v>
      </c>
      <c r="AC32" s="5">
        <f ca="1">RANK(AB32,AB6:AB64,0)</f>
        <v>8</v>
      </c>
    </row>
    <row r="33" spans="1:29">
      <c r="A33" s="4" t="s">
        <v>89</v>
      </c>
      <c r="B33" s="204">
        <v>217</v>
      </c>
      <c r="C33" s="5">
        <f ca="1">INDIRECT("'"&amp;B33&amp;"'!"&amp;K1&amp;"5")</f>
        <v>27</v>
      </c>
      <c r="D33" s="5">
        <f ca="1">INDIRECT("'"&amp;B33&amp;"'!"&amp;K1&amp;"4")</f>
        <v>9</v>
      </c>
      <c r="E33" s="5">
        <f t="shared" ca="1" si="7"/>
        <v>200</v>
      </c>
      <c r="F33" s="5">
        <f t="shared" ca="1" si="8"/>
        <v>5.4</v>
      </c>
      <c r="G33" s="5">
        <f ca="1">INDIRECT("'"&amp;B33&amp;"'!"&amp;K1&amp;"37")</f>
        <v>12</v>
      </c>
      <c r="H33" s="5">
        <f t="shared" ca="1" si="9"/>
        <v>1</v>
      </c>
      <c r="I33" s="5">
        <f ca="1">INDIRECT("'"&amp;B33&amp;"'!"&amp;K1&amp;"39")</f>
        <v>0</v>
      </c>
      <c r="J33" s="198">
        <f t="shared" ca="1" si="0"/>
        <v>0</v>
      </c>
      <c r="K33" s="5">
        <f ca="1">RANK(J33,J6:J64,0)</f>
        <v>31</v>
      </c>
      <c r="L33" s="5">
        <f ca="1">INDIRECT("'"&amp;B33&amp;"'!"&amp;K1&amp;"41")</f>
        <v>3</v>
      </c>
      <c r="M33" s="198">
        <f t="shared" ca="1" si="1"/>
        <v>25</v>
      </c>
      <c r="N33" s="5">
        <f ca="1">RANK(M33,M6:M64,0)</f>
        <v>52</v>
      </c>
      <c r="O33" s="12">
        <f ca="1">INDIRECT("'"&amp;B33&amp;"'!"&amp;K1&amp;"43")</f>
        <v>10</v>
      </c>
      <c r="P33" s="199">
        <f t="shared" ca="1" si="2"/>
        <v>83.333333333333343</v>
      </c>
      <c r="Q33" s="5">
        <f ca="1">RANK(P33,P6:P64,0)</f>
        <v>7</v>
      </c>
      <c r="R33" s="12">
        <f ca="1">INDIRECT("'"&amp;B33&amp;"'!"&amp;K1&amp;"49")</f>
        <v>8</v>
      </c>
      <c r="S33" s="199">
        <f t="shared" ca="1" si="3"/>
        <v>66.666666666666657</v>
      </c>
      <c r="T33" s="5">
        <f ca="1">RANK(S33,S6:S64,0)</f>
        <v>18</v>
      </c>
      <c r="U33" s="12">
        <f ca="1">INDIRECT("'"&amp;B33&amp;"'!"&amp;K1&amp;"51")</f>
        <v>5</v>
      </c>
      <c r="V33" s="199">
        <f t="shared" ca="1" si="4"/>
        <v>18.518518518518519</v>
      </c>
      <c r="W33" s="5">
        <f ca="1">RANK(V33,V6:V64,0)</f>
        <v>37</v>
      </c>
      <c r="X33" s="12">
        <f ca="1">INDIRECT("'"&amp;B33&amp;"'!"&amp;K1&amp;"53")</f>
        <v>4</v>
      </c>
      <c r="Y33" s="199">
        <f t="shared" ca="1" si="5"/>
        <v>14.814814814814813</v>
      </c>
      <c r="Z33" s="5">
        <f ca="1">RANK(Y33,Y6:Y64,0)</f>
        <v>32</v>
      </c>
      <c r="AA33" s="12">
        <f ca="1">INDIRECT("'"&amp;B33&amp;"'!"&amp;K1&amp;"55")</f>
        <v>0</v>
      </c>
      <c r="AB33" s="199">
        <f t="shared" ca="1" si="6"/>
        <v>0</v>
      </c>
      <c r="AC33" s="5">
        <f ca="1">RANK(AB33,AB6:AB64,0)</f>
        <v>8</v>
      </c>
    </row>
    <row r="34" spans="1:29">
      <c r="A34" s="4" t="s">
        <v>90</v>
      </c>
      <c r="B34" s="204">
        <v>218</v>
      </c>
      <c r="C34" s="5">
        <f ca="1">INDIRECT("'"&amp;B34&amp;"'!"&amp;K1&amp;"5")</f>
        <v>9</v>
      </c>
      <c r="D34" s="5">
        <f ca="1">INDIRECT("'"&amp;B34&amp;"'!"&amp;K1&amp;"4")</f>
        <v>9</v>
      </c>
      <c r="E34" s="5">
        <f t="shared" ca="1" si="7"/>
        <v>0</v>
      </c>
      <c r="F34" s="5">
        <f t="shared" ca="1" si="8"/>
        <v>1.8</v>
      </c>
      <c r="G34" s="5">
        <f ca="1">INDIRECT("'"&amp;B34&amp;"'!"&amp;K1&amp;"37")</f>
        <v>3</v>
      </c>
      <c r="H34" s="5">
        <f t="shared" ca="1" si="9"/>
        <v>0.25</v>
      </c>
      <c r="I34" s="5">
        <f ca="1">INDIRECT("'"&amp;B34&amp;"'!"&amp;K1&amp;"39")</f>
        <v>1</v>
      </c>
      <c r="J34" s="198">
        <f t="shared" ca="1" si="0"/>
        <v>33.333333333333329</v>
      </c>
      <c r="K34" s="5">
        <f ca="1">RANK(J34,J6:J64,0)</f>
        <v>1</v>
      </c>
      <c r="L34" s="5">
        <f ca="1">INDIRECT("'"&amp;B34&amp;"'!"&amp;K1&amp;"41")</f>
        <v>1</v>
      </c>
      <c r="M34" s="198">
        <f t="shared" ca="1" si="1"/>
        <v>33.333333333333329</v>
      </c>
      <c r="N34" s="5">
        <f ca="1">RANK(M34,M6:M64,0)</f>
        <v>36</v>
      </c>
      <c r="O34" s="12">
        <f ca="1">INDIRECT("'"&amp;B34&amp;"'!"&amp;K1&amp;"43")</f>
        <v>0</v>
      </c>
      <c r="P34" s="199">
        <f t="shared" ca="1" si="2"/>
        <v>0</v>
      </c>
      <c r="Q34" s="5">
        <f ca="1">RANK(P34,P6:P64,0)</f>
        <v>58</v>
      </c>
      <c r="R34" s="12">
        <f ca="1">INDIRECT("'"&amp;B34&amp;"'!"&amp;K1&amp;"49")</f>
        <v>0</v>
      </c>
      <c r="S34" s="199">
        <f t="shared" ca="1" si="3"/>
        <v>0</v>
      </c>
      <c r="T34" s="5">
        <f ca="1">RANK(S34,S6:S64,0)</f>
        <v>59</v>
      </c>
      <c r="U34" s="12">
        <f ca="1">INDIRECT("'"&amp;B34&amp;"'!"&amp;K1&amp;"51")</f>
        <v>1</v>
      </c>
      <c r="V34" s="199">
        <f t="shared" ca="1" si="4"/>
        <v>11.111111111111111</v>
      </c>
      <c r="W34" s="5">
        <f ca="1">RANK(V34,V6:V64,0)</f>
        <v>51</v>
      </c>
      <c r="X34" s="12">
        <f ca="1">INDIRECT("'"&amp;B34&amp;"'!"&amp;K1&amp;"53")</f>
        <v>1</v>
      </c>
      <c r="Y34" s="199">
        <f t="shared" ca="1" si="5"/>
        <v>11.111111111111111</v>
      </c>
      <c r="Z34" s="5">
        <f ca="1">RANK(Y34,Y6:Y64,0)</f>
        <v>40</v>
      </c>
      <c r="AA34" s="12">
        <f ca="1">INDIRECT("'"&amp;B34&amp;"'!"&amp;K1&amp;"55")</f>
        <v>0</v>
      </c>
      <c r="AB34" s="199">
        <f t="shared" ca="1" si="6"/>
        <v>0</v>
      </c>
      <c r="AC34" s="5">
        <f ca="1">RANK(AB34,AB6:AB64,0)</f>
        <v>8</v>
      </c>
    </row>
    <row r="35" spans="1:29">
      <c r="A35" s="4" t="s">
        <v>30</v>
      </c>
      <c r="B35" s="204">
        <v>219</v>
      </c>
      <c r="C35" s="5">
        <f ca="1">INDIRECT("'"&amp;B35&amp;"'!"&amp;K1&amp;"5")</f>
        <v>119</v>
      </c>
      <c r="D35" s="5">
        <f ca="1">INDIRECT("'"&amp;B35&amp;"'!"&amp;K1&amp;"4")</f>
        <v>152</v>
      </c>
      <c r="E35" s="5">
        <f t="shared" ca="1" si="7"/>
        <v>-21.710526315789465</v>
      </c>
      <c r="F35" s="5">
        <f t="shared" ca="1" si="8"/>
        <v>23.8</v>
      </c>
      <c r="G35" s="5">
        <f ca="1">INDIRECT("'"&amp;B35&amp;"'!"&amp;K1&amp;"37")</f>
        <v>79</v>
      </c>
      <c r="H35" s="5">
        <f t="shared" ca="1" si="9"/>
        <v>6.583333333333333</v>
      </c>
      <c r="I35" s="5">
        <f ca="1">INDIRECT("'"&amp;B35&amp;"'!"&amp;K1&amp;"39")</f>
        <v>9</v>
      </c>
      <c r="J35" s="198">
        <f t="shared" ca="1" si="0"/>
        <v>11.39240506329114</v>
      </c>
      <c r="K35" s="5">
        <f ca="1">RANK(J35,J6:J64,0)</f>
        <v>8</v>
      </c>
      <c r="L35" s="5">
        <f ca="1">INDIRECT("'"&amp;B35&amp;"'!"&amp;K1&amp;"41")</f>
        <v>42</v>
      </c>
      <c r="M35" s="198">
        <f t="shared" ca="1" si="1"/>
        <v>53.164556962025308</v>
      </c>
      <c r="N35" s="5">
        <f ca="1">RANK(M35,M6:M64,0)</f>
        <v>13</v>
      </c>
      <c r="O35" s="12">
        <f ca="1">INDIRECT("'"&amp;B35&amp;"'!"&amp;K1&amp;"43")</f>
        <v>59</v>
      </c>
      <c r="P35" s="199">
        <f t="shared" ca="1" si="2"/>
        <v>74.683544303797461</v>
      </c>
      <c r="Q35" s="5">
        <f ca="1">RANK(P35,P6:P64,0)</f>
        <v>17</v>
      </c>
      <c r="R35" s="12">
        <f ca="1">INDIRECT("'"&amp;B35&amp;"'!"&amp;K1&amp;"49")</f>
        <v>60</v>
      </c>
      <c r="S35" s="199">
        <f t="shared" ca="1" si="3"/>
        <v>75.949367088607602</v>
      </c>
      <c r="T35" s="5">
        <f ca="1">RANK(S35,S6:S64,0)</f>
        <v>13</v>
      </c>
      <c r="U35" s="12">
        <f ca="1">INDIRECT("'"&amp;B35&amp;"'!"&amp;K1&amp;"51")</f>
        <v>34</v>
      </c>
      <c r="V35" s="199">
        <f t="shared" ca="1" si="4"/>
        <v>28.571428571428569</v>
      </c>
      <c r="W35" s="5">
        <f ca="1">RANK(V35,V6:V64,0)</f>
        <v>21</v>
      </c>
      <c r="X35" s="12">
        <f ca="1">INDIRECT("'"&amp;B35&amp;"'!"&amp;K1&amp;"53")</f>
        <v>21</v>
      </c>
      <c r="Y35" s="199">
        <f t="shared" ca="1" si="5"/>
        <v>17.647058823529413</v>
      </c>
      <c r="Z35" s="5">
        <f ca="1">RANK(Y35,Y6:Y64,0)</f>
        <v>25</v>
      </c>
      <c r="AA35" s="12">
        <f ca="1">INDIRECT("'"&amp;B35&amp;"'!"&amp;K1&amp;"55")</f>
        <v>0</v>
      </c>
      <c r="AB35" s="199">
        <f t="shared" ca="1" si="6"/>
        <v>0</v>
      </c>
      <c r="AC35" s="5">
        <f ca="1">RANK(AB35,AB6:AB64,0)</f>
        <v>8</v>
      </c>
    </row>
    <row r="36" spans="1:29">
      <c r="A36" s="4" t="s">
        <v>91</v>
      </c>
      <c r="B36" s="204">
        <v>220</v>
      </c>
      <c r="C36" s="5">
        <f ca="1">INDIRECT("'"&amp;B36&amp;"'!"&amp;K1&amp;"5")</f>
        <v>15</v>
      </c>
      <c r="D36" s="5">
        <f ca="1">INDIRECT("'"&amp;B36&amp;"'!"&amp;K1&amp;"4")</f>
        <v>12</v>
      </c>
      <c r="E36" s="5">
        <f t="shared" ca="1" si="7"/>
        <v>25</v>
      </c>
      <c r="F36" s="5">
        <f t="shared" ca="1" si="8"/>
        <v>3</v>
      </c>
      <c r="G36" s="5">
        <f ca="1">INDIRECT("'"&amp;B36&amp;"'!"&amp;K1&amp;"37")</f>
        <v>5</v>
      </c>
      <c r="H36" s="5">
        <f t="shared" ca="1" si="9"/>
        <v>0.41666666666666669</v>
      </c>
      <c r="I36" s="5">
        <f ca="1">INDIRECT("'"&amp;B36&amp;"'!"&amp;K1&amp;"39")</f>
        <v>1</v>
      </c>
      <c r="J36" s="198">
        <f t="shared" ca="1" si="0"/>
        <v>20</v>
      </c>
      <c r="K36" s="5">
        <f ca="1">RANK(J36,J6:J64,0)</f>
        <v>3</v>
      </c>
      <c r="L36" s="5">
        <f ca="1">INDIRECT("'"&amp;B36&amp;"'!"&amp;K1&amp;"41")</f>
        <v>2</v>
      </c>
      <c r="M36" s="198">
        <f t="shared" ca="1" si="1"/>
        <v>40</v>
      </c>
      <c r="N36" s="5">
        <f ca="1">RANK(M36,M6:M64,0)</f>
        <v>25</v>
      </c>
      <c r="O36" s="12">
        <f ca="1">INDIRECT("'"&amp;B36&amp;"'!"&amp;K1&amp;"43")</f>
        <v>4</v>
      </c>
      <c r="P36" s="199">
        <f t="shared" ca="1" si="2"/>
        <v>80</v>
      </c>
      <c r="Q36" s="5">
        <f ca="1">RANK(P36,P6:P64,0)</f>
        <v>10</v>
      </c>
      <c r="R36" s="12">
        <f ca="1">INDIRECT("'"&amp;B36&amp;"'!"&amp;K1&amp;"49")</f>
        <v>4</v>
      </c>
      <c r="S36" s="199">
        <f t="shared" ca="1" si="3"/>
        <v>80</v>
      </c>
      <c r="T36" s="5">
        <f ca="1">RANK(S36,S6:S64,0)</f>
        <v>8</v>
      </c>
      <c r="U36" s="12">
        <f ca="1">INDIRECT("'"&amp;B36&amp;"'!"&amp;K1&amp;"51")</f>
        <v>2</v>
      </c>
      <c r="V36" s="199">
        <f t="shared" ca="1" si="4"/>
        <v>13.333333333333334</v>
      </c>
      <c r="W36" s="5">
        <f ca="1">RANK(V36,V6:V64,0)</f>
        <v>49</v>
      </c>
      <c r="X36" s="12">
        <f ca="1">INDIRECT("'"&amp;B36&amp;"'!"&amp;K1&amp;"53")</f>
        <v>1</v>
      </c>
      <c r="Y36" s="199">
        <f t="shared" ca="1" si="5"/>
        <v>6.666666666666667</v>
      </c>
      <c r="Z36" s="5">
        <f ca="1">RANK(Y36,Y6:Y64,0)</f>
        <v>51</v>
      </c>
      <c r="AA36" s="12">
        <f ca="1">INDIRECT("'"&amp;B36&amp;"'!"&amp;K1&amp;"55")</f>
        <v>0</v>
      </c>
      <c r="AB36" s="199">
        <f t="shared" ca="1" si="6"/>
        <v>0</v>
      </c>
      <c r="AC36" s="5">
        <f ca="1">RANK(AB36,AB6:AB64,0)</f>
        <v>8</v>
      </c>
    </row>
    <row r="37" spans="1:29">
      <c r="A37" s="4" t="s">
        <v>92</v>
      </c>
      <c r="B37" s="204">
        <v>221</v>
      </c>
      <c r="C37" s="5">
        <f ca="1">INDIRECT("'"&amp;B37&amp;"'!"&amp;K1&amp;"5")</f>
        <v>20</v>
      </c>
      <c r="D37" s="5">
        <f ca="1">INDIRECT("'"&amp;B37&amp;"'!"&amp;K1&amp;"4")</f>
        <v>27</v>
      </c>
      <c r="E37" s="5">
        <f t="shared" ca="1" si="7"/>
        <v>-25.925925925925924</v>
      </c>
      <c r="F37" s="5">
        <f t="shared" ca="1" si="8"/>
        <v>4</v>
      </c>
      <c r="G37" s="5">
        <f ca="1">INDIRECT("'"&amp;B37&amp;"'!"&amp;K1&amp;"37")</f>
        <v>11</v>
      </c>
      <c r="H37" s="5">
        <f t="shared" ca="1" si="9"/>
        <v>0.91666666666666663</v>
      </c>
      <c r="I37" s="5">
        <f ca="1">INDIRECT("'"&amp;B37&amp;"'!"&amp;K1&amp;"39")</f>
        <v>0</v>
      </c>
      <c r="J37" s="198">
        <f t="shared" ca="1" si="0"/>
        <v>0</v>
      </c>
      <c r="K37" s="5">
        <f ca="1">RANK(J37,J6:J64,0)</f>
        <v>31</v>
      </c>
      <c r="L37" s="5">
        <f ca="1">INDIRECT("'"&amp;B37&amp;"'!"&amp;K1&amp;"41")</f>
        <v>4</v>
      </c>
      <c r="M37" s="198">
        <f t="shared" ca="1" si="1"/>
        <v>36.363636363636367</v>
      </c>
      <c r="N37" s="5">
        <f ca="1">RANK(M37,M6:M64,0)</f>
        <v>34</v>
      </c>
      <c r="O37" s="12">
        <f ca="1">INDIRECT("'"&amp;B37&amp;"'!"&amp;K1&amp;"43")</f>
        <v>7</v>
      </c>
      <c r="P37" s="199">
        <f t="shared" ca="1" si="2"/>
        <v>63.636363636363633</v>
      </c>
      <c r="Q37" s="5">
        <f ca="1">RANK(P37,P6:P64,0)</f>
        <v>28</v>
      </c>
      <c r="R37" s="12">
        <f ca="1">INDIRECT("'"&amp;B37&amp;"'!"&amp;K1&amp;"49")</f>
        <v>5</v>
      </c>
      <c r="S37" s="199">
        <f t="shared" ca="1" si="3"/>
        <v>45.454545454545453</v>
      </c>
      <c r="T37" s="5">
        <f ca="1">RANK(S37,S6:S64,0)</f>
        <v>48</v>
      </c>
      <c r="U37" s="12">
        <f ca="1">INDIRECT("'"&amp;B37&amp;"'!"&amp;K1&amp;"51")</f>
        <v>6</v>
      </c>
      <c r="V37" s="199">
        <f t="shared" ca="1" si="4"/>
        <v>30</v>
      </c>
      <c r="W37" s="5">
        <f ca="1">RANK(V37,V6:V64,0)</f>
        <v>19</v>
      </c>
      <c r="X37" s="12">
        <f ca="1">INDIRECT("'"&amp;B37&amp;"'!"&amp;K1&amp;"53")</f>
        <v>1</v>
      </c>
      <c r="Y37" s="199">
        <f t="shared" ca="1" si="5"/>
        <v>5</v>
      </c>
      <c r="Z37" s="5">
        <f ca="1">RANK(Y37,Y6:Y64,0)</f>
        <v>55</v>
      </c>
      <c r="AA37" s="12">
        <f ca="1">INDIRECT("'"&amp;B37&amp;"'!"&amp;K1&amp;"55")</f>
        <v>0</v>
      </c>
      <c r="AB37" s="199">
        <f t="shared" ca="1" si="6"/>
        <v>0</v>
      </c>
      <c r="AC37" s="5">
        <f ca="1">RANK(AB37,AB6:AB64,0)</f>
        <v>8</v>
      </c>
    </row>
    <row r="38" spans="1:29">
      <c r="A38" s="4" t="s">
        <v>93</v>
      </c>
      <c r="B38" s="204">
        <v>222</v>
      </c>
      <c r="C38" s="5">
        <f ca="1">INDIRECT("'"&amp;B38&amp;"'!"&amp;K1&amp;"5")</f>
        <v>17</v>
      </c>
      <c r="D38" s="5">
        <f ca="1">INDIRECT("'"&amp;B38&amp;"'!"&amp;K1&amp;"4")</f>
        <v>16</v>
      </c>
      <c r="E38" s="5">
        <f t="shared" ca="1" si="7"/>
        <v>6.25</v>
      </c>
      <c r="F38" s="5">
        <f t="shared" ca="1" si="8"/>
        <v>3.4</v>
      </c>
      <c r="G38" s="5">
        <f ca="1">INDIRECT("'"&amp;B38&amp;"'!"&amp;K1&amp;"37")</f>
        <v>12</v>
      </c>
      <c r="H38" s="5">
        <f t="shared" ca="1" si="9"/>
        <v>1</v>
      </c>
      <c r="I38" s="5">
        <f ca="1">INDIRECT("'"&amp;B38&amp;"'!"&amp;K1&amp;"39")</f>
        <v>1</v>
      </c>
      <c r="J38" s="198">
        <f t="shared" ref="J38:J64" ca="1" si="10">I38/G38*100</f>
        <v>8.3333333333333321</v>
      </c>
      <c r="K38" s="5">
        <f ca="1">RANK(J38,J6:J64,0)</f>
        <v>10</v>
      </c>
      <c r="L38" s="5">
        <f ca="1">INDIRECT("'"&amp;B38&amp;"'!"&amp;K1&amp;"41")</f>
        <v>8</v>
      </c>
      <c r="M38" s="198">
        <f t="shared" ref="M38:M64" ca="1" si="11">L38/G38*100</f>
        <v>66.666666666666657</v>
      </c>
      <c r="N38" s="5">
        <f ca="1">RANK(M38,M6:M64,0)</f>
        <v>3</v>
      </c>
      <c r="O38" s="12">
        <f ca="1">INDIRECT("'"&amp;B38&amp;"'!"&amp;K1&amp;"43")</f>
        <v>9</v>
      </c>
      <c r="P38" s="199">
        <f t="shared" ref="P38:P64" ca="1" si="12">O38/G38*100</f>
        <v>75</v>
      </c>
      <c r="Q38" s="5">
        <f ca="1">RANK(P38,P6:P64,0)</f>
        <v>15</v>
      </c>
      <c r="R38" s="12">
        <f ca="1">INDIRECT("'"&amp;B38&amp;"'!"&amp;K1&amp;"49")</f>
        <v>7</v>
      </c>
      <c r="S38" s="199">
        <f t="shared" ref="S38:S64" ca="1" si="13">R38/G38*100</f>
        <v>58.333333333333336</v>
      </c>
      <c r="T38" s="5">
        <f ca="1">RANK(S38,S6:S64,0)</f>
        <v>29</v>
      </c>
      <c r="U38" s="12">
        <f ca="1">INDIRECT("'"&amp;B38&amp;"'!"&amp;K1&amp;"51")</f>
        <v>3</v>
      </c>
      <c r="V38" s="199">
        <f t="shared" ref="V38:V64" ca="1" si="14">U38/C38*100</f>
        <v>17.647058823529413</v>
      </c>
      <c r="W38" s="5">
        <f ca="1">RANK(V38,V6:V64,0)</f>
        <v>41</v>
      </c>
      <c r="X38" s="12">
        <f ca="1">INDIRECT("'"&amp;B38&amp;"'!"&amp;K1&amp;"53")</f>
        <v>2</v>
      </c>
      <c r="Y38" s="199">
        <f t="shared" ref="Y38:Y64" ca="1" si="15">X38/C38*100</f>
        <v>11.76470588235294</v>
      </c>
      <c r="Z38" s="5">
        <f ca="1">RANK(Y38,Y6:Y64,0)</f>
        <v>38</v>
      </c>
      <c r="AA38" s="12">
        <f ca="1">INDIRECT("'"&amp;B38&amp;"'!"&amp;K1&amp;"55")</f>
        <v>0</v>
      </c>
      <c r="AB38" s="199">
        <f t="shared" ref="AB38:AB64" ca="1" si="16">AA38/C38*100</f>
        <v>0</v>
      </c>
      <c r="AC38" s="5">
        <f ca="1">RANK(AB38,AB6:AB64,0)</f>
        <v>8</v>
      </c>
    </row>
    <row r="39" spans="1:29">
      <c r="A39" s="4" t="s">
        <v>94</v>
      </c>
      <c r="B39" s="204">
        <v>223</v>
      </c>
      <c r="C39" s="5">
        <f ca="1">INDIRECT("'"&amp;B39&amp;"'!"&amp;K1&amp;"5")</f>
        <v>19</v>
      </c>
      <c r="D39" s="5">
        <f ca="1">INDIRECT("'"&amp;B39&amp;"'!"&amp;K1&amp;"4")</f>
        <v>10</v>
      </c>
      <c r="E39" s="5">
        <f t="shared" ca="1" si="7"/>
        <v>90</v>
      </c>
      <c r="F39" s="5">
        <f t="shared" ca="1" si="8"/>
        <v>3.8</v>
      </c>
      <c r="G39" s="5">
        <f ca="1">INDIRECT("'"&amp;B39&amp;"'!"&amp;K1&amp;"37")</f>
        <v>14</v>
      </c>
      <c r="H39" s="5">
        <f t="shared" ca="1" si="9"/>
        <v>1.1666666666666667</v>
      </c>
      <c r="I39" s="5">
        <f ca="1">INDIRECT("'"&amp;B39&amp;"'!"&amp;K1&amp;"39")</f>
        <v>1</v>
      </c>
      <c r="J39" s="198">
        <f t="shared" ca="1" si="10"/>
        <v>7.1428571428571423</v>
      </c>
      <c r="K39" s="5">
        <f ca="1">RANK(J39,J6:J64,0)</f>
        <v>14</v>
      </c>
      <c r="L39" s="5">
        <f ca="1">INDIRECT("'"&amp;B39&amp;"'!"&amp;K1&amp;"41")</f>
        <v>5</v>
      </c>
      <c r="M39" s="198">
        <f t="shared" ca="1" si="11"/>
        <v>35.714285714285715</v>
      </c>
      <c r="N39" s="5">
        <f ca="1">RANK(M39,M6:M64,0)</f>
        <v>35</v>
      </c>
      <c r="O39" s="12">
        <f ca="1">INDIRECT("'"&amp;B39&amp;"'!"&amp;K1&amp;"43")</f>
        <v>6</v>
      </c>
      <c r="P39" s="199">
        <f t="shared" ca="1" si="12"/>
        <v>42.857142857142854</v>
      </c>
      <c r="Q39" s="5">
        <f ca="1">RANK(P39,P6:P64,0)</f>
        <v>53</v>
      </c>
      <c r="R39" s="12">
        <f ca="1">INDIRECT("'"&amp;B39&amp;"'!"&amp;K1&amp;"49")</f>
        <v>5</v>
      </c>
      <c r="S39" s="199">
        <f t="shared" ca="1" si="13"/>
        <v>35.714285714285715</v>
      </c>
      <c r="T39" s="5">
        <f ca="1">RANK(S39,S6:S64,0)</f>
        <v>54</v>
      </c>
      <c r="U39" s="12">
        <f ca="1">INDIRECT("'"&amp;B39&amp;"'!"&amp;K1&amp;"51")</f>
        <v>4</v>
      </c>
      <c r="V39" s="199">
        <f t="shared" ca="1" si="14"/>
        <v>21.052631578947366</v>
      </c>
      <c r="W39" s="5">
        <f ca="1">RANK(V39,V6:V64,0)</f>
        <v>33</v>
      </c>
      <c r="X39" s="12">
        <f ca="1">INDIRECT("'"&amp;B39&amp;"'!"&amp;K1&amp;"53")</f>
        <v>3</v>
      </c>
      <c r="Y39" s="199">
        <f t="shared" ca="1" si="15"/>
        <v>15.789473684210526</v>
      </c>
      <c r="Z39" s="5">
        <f ca="1">RANK(Y39,Y6:Y64,0)</f>
        <v>29</v>
      </c>
      <c r="AA39" s="12">
        <f ca="1">INDIRECT("'"&amp;B39&amp;"'!"&amp;K1&amp;"55")</f>
        <v>1</v>
      </c>
      <c r="AB39" s="199">
        <f t="shared" ca="1" si="16"/>
        <v>5.2631578947368416</v>
      </c>
      <c r="AC39" s="5">
        <f ca="1">RANK(AB39,AB6:AB64,0)</f>
        <v>2</v>
      </c>
    </row>
    <row r="40" spans="1:29">
      <c r="A40" s="4" t="s">
        <v>95</v>
      </c>
      <c r="B40" s="204">
        <v>224</v>
      </c>
      <c r="C40" s="5">
        <f ca="1">INDIRECT("'"&amp;B40&amp;"'!"&amp;K1&amp;"5")</f>
        <v>29</v>
      </c>
      <c r="D40" s="5">
        <f ca="1">INDIRECT("'"&amp;B40&amp;"'!"&amp;K1&amp;"4")</f>
        <v>33</v>
      </c>
      <c r="E40" s="5">
        <f t="shared" ca="1" si="7"/>
        <v>-12.121212121212125</v>
      </c>
      <c r="F40" s="5">
        <f t="shared" ca="1" si="8"/>
        <v>5.8</v>
      </c>
      <c r="G40" s="5">
        <f ca="1">INDIRECT("'"&amp;B40&amp;"'!"&amp;K1&amp;"37")</f>
        <v>23</v>
      </c>
      <c r="H40" s="5">
        <f t="shared" ca="1" si="9"/>
        <v>1.9166666666666667</v>
      </c>
      <c r="I40" s="5">
        <f ca="1">INDIRECT("'"&amp;B40&amp;"'!"&amp;K1&amp;"39")</f>
        <v>0</v>
      </c>
      <c r="J40" s="198">
        <f t="shared" ca="1" si="10"/>
        <v>0</v>
      </c>
      <c r="K40" s="5">
        <f ca="1">RANK(J40,J6:J64,0)</f>
        <v>31</v>
      </c>
      <c r="L40" s="5">
        <f ca="1">INDIRECT("'"&amp;B40&amp;"'!"&amp;K1&amp;"41")</f>
        <v>13</v>
      </c>
      <c r="M40" s="198">
        <f t="shared" ca="1" si="11"/>
        <v>56.521739130434781</v>
      </c>
      <c r="N40" s="5">
        <f ca="1">RANK(M40,M6:M64,0)</f>
        <v>10</v>
      </c>
      <c r="O40" s="12">
        <f ca="1">INDIRECT("'"&amp;B40&amp;"'!"&amp;K1&amp;"43")</f>
        <v>13</v>
      </c>
      <c r="P40" s="199">
        <f t="shared" ca="1" si="12"/>
        <v>56.521739130434781</v>
      </c>
      <c r="Q40" s="5">
        <f ca="1">RANK(P40,P6:P64,0)</f>
        <v>41</v>
      </c>
      <c r="R40" s="12">
        <f ca="1">INDIRECT("'"&amp;B40&amp;"'!"&amp;K1&amp;"49")</f>
        <v>16</v>
      </c>
      <c r="S40" s="199">
        <f t="shared" ca="1" si="13"/>
        <v>69.565217391304344</v>
      </c>
      <c r="T40" s="5">
        <f ca="1">RANK(S40,S6:S64,0)</f>
        <v>17</v>
      </c>
      <c r="U40" s="12">
        <f ca="1">INDIRECT("'"&amp;B40&amp;"'!"&amp;K1&amp;"51")</f>
        <v>2</v>
      </c>
      <c r="V40" s="199">
        <f t="shared" ca="1" si="14"/>
        <v>6.8965517241379306</v>
      </c>
      <c r="W40" s="5">
        <f ca="1">RANK(V40,V6:V64,0)</f>
        <v>56</v>
      </c>
      <c r="X40" s="12">
        <f ca="1">INDIRECT("'"&amp;B40&amp;"'!"&amp;K1&amp;"53")</f>
        <v>2</v>
      </c>
      <c r="Y40" s="199">
        <f t="shared" ca="1" si="15"/>
        <v>6.8965517241379306</v>
      </c>
      <c r="Z40" s="5">
        <f ca="1">RANK(Y40,Y6:Y64,0)</f>
        <v>50</v>
      </c>
      <c r="AA40" s="12">
        <f ca="1">INDIRECT("'"&amp;B40&amp;"'!"&amp;K1&amp;"55")</f>
        <v>0</v>
      </c>
      <c r="AB40" s="199">
        <f t="shared" ca="1" si="16"/>
        <v>0</v>
      </c>
      <c r="AC40" s="5">
        <f ca="1">RANK(AB40,AB6:AB64,0)</f>
        <v>8</v>
      </c>
    </row>
    <row r="41" spans="1:29">
      <c r="A41" s="4" t="s">
        <v>31</v>
      </c>
      <c r="B41" s="204">
        <v>245</v>
      </c>
      <c r="C41" s="5">
        <f ca="1">INDIRECT("'"&amp;B41&amp;"'!"&amp;K1&amp;"5")</f>
        <v>86</v>
      </c>
      <c r="D41" s="5">
        <f ca="1">INDIRECT("'"&amp;B41&amp;"'!"&amp;K1&amp;"4")</f>
        <v>87</v>
      </c>
      <c r="E41" s="5">
        <f t="shared" ca="1" si="7"/>
        <v>-1.1494252873563227</v>
      </c>
      <c r="F41" s="5">
        <f t="shared" ca="1" si="8"/>
        <v>17.2</v>
      </c>
      <c r="G41" s="5">
        <f ca="1">INDIRECT("'"&amp;B41&amp;"'!"&amp;K1&amp;"37")</f>
        <v>74</v>
      </c>
      <c r="H41" s="5">
        <f t="shared" ca="1" si="9"/>
        <v>6.166666666666667</v>
      </c>
      <c r="I41" s="5">
        <f ca="1">INDIRECT("'"&amp;B41&amp;"'!"&amp;K1&amp;"39")</f>
        <v>2</v>
      </c>
      <c r="J41" s="198">
        <f t="shared" ca="1" si="10"/>
        <v>2.7027027027027026</v>
      </c>
      <c r="K41" s="5">
        <f ca="1">RANK(J41,J6:J64,0)</f>
        <v>28</v>
      </c>
      <c r="L41" s="5">
        <f ca="1">INDIRECT("'"&amp;B41&amp;"'!"&amp;K1&amp;"41")</f>
        <v>34</v>
      </c>
      <c r="M41" s="198">
        <f t="shared" ca="1" si="11"/>
        <v>45.945945945945951</v>
      </c>
      <c r="N41" s="5">
        <f ca="1">RANK(M41,M6:M64,0)</f>
        <v>22</v>
      </c>
      <c r="O41" s="12">
        <f ca="1">INDIRECT("'"&amp;B41&amp;"'!"&amp;K1&amp;"43")</f>
        <v>54</v>
      </c>
      <c r="P41" s="199">
        <f t="shared" ca="1" si="12"/>
        <v>72.972972972972968</v>
      </c>
      <c r="Q41" s="5">
        <f ca="1">RANK(P41,P6:P64,0)</f>
        <v>18</v>
      </c>
      <c r="R41" s="12">
        <f ca="1">INDIRECT("'"&amp;B41&amp;"'!"&amp;K1&amp;"49")</f>
        <v>48</v>
      </c>
      <c r="S41" s="199">
        <f t="shared" ca="1" si="13"/>
        <v>64.86486486486487</v>
      </c>
      <c r="T41" s="5">
        <f ca="1">RANK(S41,S6:S64,0)</f>
        <v>22</v>
      </c>
      <c r="U41" s="12">
        <f ca="1">INDIRECT("'"&amp;B41&amp;"'!"&amp;K1&amp;"51")</f>
        <v>23</v>
      </c>
      <c r="V41" s="199">
        <f t="shared" ca="1" si="14"/>
        <v>26.744186046511626</v>
      </c>
      <c r="W41" s="5">
        <f ca="1">RANK(V41,V6:V64,0)</f>
        <v>25</v>
      </c>
      <c r="X41" s="12">
        <f ca="1">INDIRECT("'"&amp;B41&amp;"'!"&amp;K1&amp;"53")</f>
        <v>17</v>
      </c>
      <c r="Y41" s="199">
        <f t="shared" ca="1" si="15"/>
        <v>19.767441860465116</v>
      </c>
      <c r="Z41" s="5">
        <f ca="1">RANK(Y41,Y6:Y64,0)</f>
        <v>18</v>
      </c>
      <c r="AA41" s="12">
        <f ca="1">INDIRECT("'"&amp;B41&amp;"'!"&amp;K1&amp;"55")</f>
        <v>0</v>
      </c>
      <c r="AB41" s="199">
        <f t="shared" ca="1" si="16"/>
        <v>0</v>
      </c>
      <c r="AC41" s="5">
        <f ca="1">RANK(AB41,AB6:AB64,0)</f>
        <v>8</v>
      </c>
    </row>
    <row r="42" spans="1:29">
      <c r="A42" s="4" t="s">
        <v>96</v>
      </c>
      <c r="B42" s="204">
        <v>225</v>
      </c>
      <c r="C42" s="5">
        <f ca="1">INDIRECT("'"&amp;B42&amp;"'!"&amp;K1&amp;"5")</f>
        <v>16</v>
      </c>
      <c r="D42" s="5">
        <f ca="1">INDIRECT("'"&amp;B42&amp;"'!"&amp;K1&amp;"4")</f>
        <v>15</v>
      </c>
      <c r="E42" s="5">
        <f t="shared" ca="1" si="7"/>
        <v>6.6666666666666714</v>
      </c>
      <c r="F42" s="5">
        <f t="shared" ca="1" si="8"/>
        <v>3.2</v>
      </c>
      <c r="G42" s="5">
        <f ca="1">INDIRECT("'"&amp;B42&amp;"'!"&amp;K1&amp;"37")</f>
        <v>5</v>
      </c>
      <c r="H42" s="5">
        <f t="shared" ca="1" si="9"/>
        <v>0.41666666666666669</v>
      </c>
      <c r="I42" s="5">
        <f ca="1">INDIRECT("'"&amp;B42&amp;"'!"&amp;K1&amp;"39")</f>
        <v>0</v>
      </c>
      <c r="J42" s="198">
        <f t="shared" ca="1" si="10"/>
        <v>0</v>
      </c>
      <c r="K42" s="5">
        <f ca="1">RANK(J42,J6:J64,0)</f>
        <v>31</v>
      </c>
      <c r="L42" s="5">
        <f ca="1">INDIRECT("'"&amp;B42&amp;"'!"&amp;K1&amp;"41")</f>
        <v>2</v>
      </c>
      <c r="M42" s="198">
        <f t="shared" ca="1" si="11"/>
        <v>40</v>
      </c>
      <c r="N42" s="5">
        <f ca="1">RANK(M42,M6:M64,0)</f>
        <v>25</v>
      </c>
      <c r="O42" s="12">
        <f ca="1">INDIRECT("'"&amp;B42&amp;"'!"&amp;K1&amp;"43")</f>
        <v>2</v>
      </c>
      <c r="P42" s="199">
        <f t="shared" ca="1" si="12"/>
        <v>40</v>
      </c>
      <c r="Q42" s="5">
        <f ca="1">RANK(P42,P6:P64,0)</f>
        <v>54</v>
      </c>
      <c r="R42" s="12">
        <f ca="1">INDIRECT("'"&amp;B42&amp;"'!"&amp;K1&amp;"49")</f>
        <v>5</v>
      </c>
      <c r="S42" s="199">
        <f t="shared" ca="1" si="13"/>
        <v>100</v>
      </c>
      <c r="T42" s="5">
        <f ca="1">RANK(S42,S6:S64,0)</f>
        <v>1</v>
      </c>
      <c r="U42" s="12">
        <f ca="1">INDIRECT("'"&amp;B42&amp;"'!"&amp;K1&amp;"51")</f>
        <v>1</v>
      </c>
      <c r="V42" s="199">
        <f t="shared" ca="1" si="14"/>
        <v>6.25</v>
      </c>
      <c r="W42" s="5">
        <f ca="1">RANK(V42,V6:V64,0)</f>
        <v>57</v>
      </c>
      <c r="X42" s="12">
        <f ca="1">INDIRECT("'"&amp;B42&amp;"'!"&amp;K1&amp;"53")</f>
        <v>1</v>
      </c>
      <c r="Y42" s="199">
        <f t="shared" ca="1" si="15"/>
        <v>6.25</v>
      </c>
      <c r="Z42" s="5">
        <f ca="1">RANK(Y42,Y6:Y64,0)</f>
        <v>52</v>
      </c>
      <c r="AA42" s="12">
        <f ca="1">INDIRECT("'"&amp;B42&amp;"'!"&amp;K1&amp;"55")</f>
        <v>2</v>
      </c>
      <c r="AB42" s="199">
        <f t="shared" ca="1" si="16"/>
        <v>12.5</v>
      </c>
      <c r="AC42" s="5">
        <f ca="1">RANK(AB42,AB6:AB64,0)</f>
        <v>1</v>
      </c>
    </row>
    <row r="43" spans="1:29">
      <c r="A43" s="4" t="s">
        <v>32</v>
      </c>
      <c r="B43" s="204">
        <v>226</v>
      </c>
      <c r="C43" s="5">
        <f ca="1">INDIRECT("'"&amp;B43&amp;"'!"&amp;K1&amp;"5")</f>
        <v>147</v>
      </c>
      <c r="D43" s="5">
        <f ca="1">INDIRECT("'"&amp;B43&amp;"'!"&amp;K1&amp;"4")</f>
        <v>138</v>
      </c>
      <c r="E43" s="5">
        <f t="shared" ca="1" si="7"/>
        <v>6.5217391304347956</v>
      </c>
      <c r="F43" s="5">
        <f t="shared" ca="1" si="8"/>
        <v>29.4</v>
      </c>
      <c r="G43" s="5">
        <f ca="1">INDIRECT("'"&amp;B43&amp;"'!"&amp;K1&amp;"37")</f>
        <v>74</v>
      </c>
      <c r="H43" s="5">
        <f t="shared" ca="1" si="9"/>
        <v>6.166666666666667</v>
      </c>
      <c r="I43" s="5">
        <f ca="1">INDIRECT("'"&amp;B43&amp;"'!"&amp;K1&amp;"39")</f>
        <v>6</v>
      </c>
      <c r="J43" s="198">
        <f t="shared" ca="1" si="10"/>
        <v>8.1081081081081088</v>
      </c>
      <c r="K43" s="5">
        <f ca="1">RANK(J43,J6:J64,0)</f>
        <v>12</v>
      </c>
      <c r="L43" s="5">
        <f ca="1">INDIRECT("'"&amp;B43&amp;"'!"&amp;K1&amp;"41")</f>
        <v>28</v>
      </c>
      <c r="M43" s="198">
        <f t="shared" ca="1" si="11"/>
        <v>37.837837837837839</v>
      </c>
      <c r="N43" s="5">
        <f ca="1">RANK(M43,M6:M64,0)</f>
        <v>32</v>
      </c>
      <c r="O43" s="12">
        <f ca="1">INDIRECT("'"&amp;B43&amp;"'!"&amp;K1&amp;"43")</f>
        <v>56</v>
      </c>
      <c r="P43" s="199">
        <f t="shared" ca="1" si="12"/>
        <v>75.675675675675677</v>
      </c>
      <c r="Q43" s="5">
        <f ca="1">RANK(P43,P6:P64,0)</f>
        <v>14</v>
      </c>
      <c r="R43" s="12">
        <f ca="1">INDIRECT("'"&amp;B43&amp;"'!"&amp;K1&amp;"49")</f>
        <v>35</v>
      </c>
      <c r="S43" s="199">
        <f t="shared" ca="1" si="13"/>
        <v>47.297297297297298</v>
      </c>
      <c r="T43" s="5">
        <f ca="1">RANK(S43,S6:S64,0)</f>
        <v>44</v>
      </c>
      <c r="U43" s="12">
        <f ca="1">INDIRECT("'"&amp;B43&amp;"'!"&amp;K1&amp;"51")</f>
        <v>44</v>
      </c>
      <c r="V43" s="199">
        <f t="shared" ca="1" si="14"/>
        <v>29.931972789115648</v>
      </c>
      <c r="W43" s="5">
        <f ca="1">RANK(V43,V6:V64,0)</f>
        <v>20</v>
      </c>
      <c r="X43" s="12">
        <f ca="1">INDIRECT("'"&amp;B43&amp;"'!"&amp;K1&amp;"53")</f>
        <v>32</v>
      </c>
      <c r="Y43" s="199">
        <f t="shared" ca="1" si="15"/>
        <v>21.768707482993197</v>
      </c>
      <c r="Z43" s="5">
        <f ca="1">RANK(Y43,Y6:Y64,0)</f>
        <v>12</v>
      </c>
      <c r="AA43" s="12">
        <f ca="1">INDIRECT("'"&amp;B43&amp;"'!"&amp;K1&amp;"55")</f>
        <v>0</v>
      </c>
      <c r="AB43" s="199">
        <f t="shared" ca="1" si="16"/>
        <v>0</v>
      </c>
      <c r="AC43" s="5">
        <f ca="1">RANK(AB43,AB6:AB64,0)</f>
        <v>8</v>
      </c>
    </row>
    <row r="44" spans="1:29">
      <c r="A44" s="4" t="s">
        <v>97</v>
      </c>
      <c r="B44" s="204">
        <v>227</v>
      </c>
      <c r="C44" s="5">
        <f ca="1">INDIRECT("'"&amp;B44&amp;"'!"&amp;K1&amp;"5")</f>
        <v>13</v>
      </c>
      <c r="D44" s="5">
        <f ca="1">INDIRECT("'"&amp;B44&amp;"'!"&amp;K1&amp;"4")</f>
        <v>20</v>
      </c>
      <c r="E44" s="5">
        <f t="shared" ca="1" si="7"/>
        <v>-35</v>
      </c>
      <c r="F44" s="5">
        <f t="shared" ca="1" si="8"/>
        <v>2.6</v>
      </c>
      <c r="G44" s="5">
        <f ca="1">INDIRECT("'"&amp;B44&amp;"'!"&amp;K1&amp;"37")</f>
        <v>8</v>
      </c>
      <c r="H44" s="5">
        <f t="shared" ca="1" si="9"/>
        <v>0.66666666666666663</v>
      </c>
      <c r="I44" s="5">
        <f ca="1">INDIRECT("'"&amp;B44&amp;"'!"&amp;K1&amp;"39")</f>
        <v>1</v>
      </c>
      <c r="J44" s="198">
        <f t="shared" ca="1" si="10"/>
        <v>12.5</v>
      </c>
      <c r="K44" s="5">
        <f ca="1">RANK(J44,J6:J64,0)</f>
        <v>6</v>
      </c>
      <c r="L44" s="5">
        <f ca="1">INDIRECT("'"&amp;B44&amp;"'!"&amp;K1&amp;"41")</f>
        <v>3</v>
      </c>
      <c r="M44" s="198">
        <f t="shared" ca="1" si="11"/>
        <v>37.5</v>
      </c>
      <c r="N44" s="5">
        <f ca="1">RANK(M44,M6:M64,0)</f>
        <v>33</v>
      </c>
      <c r="O44" s="12">
        <f ca="1">INDIRECT("'"&amp;B44&amp;"'!"&amp;K1&amp;"43")</f>
        <v>4</v>
      </c>
      <c r="P44" s="199">
        <f t="shared" ca="1" si="12"/>
        <v>50</v>
      </c>
      <c r="Q44" s="5">
        <f ca="1">RANK(P44,P6:P64,0)</f>
        <v>48</v>
      </c>
      <c r="R44" s="12">
        <f ca="1">INDIRECT("'"&amp;B44&amp;"'!"&amp;K1&amp;"49")</f>
        <v>2</v>
      </c>
      <c r="S44" s="199">
        <f t="shared" ca="1" si="13"/>
        <v>25</v>
      </c>
      <c r="T44" s="5">
        <f ca="1">RANK(S44,S6:S64,0)</f>
        <v>57</v>
      </c>
      <c r="U44" s="12">
        <f ca="1">INDIRECT("'"&amp;B44&amp;"'!"&amp;K1&amp;"51")</f>
        <v>2</v>
      </c>
      <c r="V44" s="199">
        <f t="shared" ca="1" si="14"/>
        <v>15.384615384615385</v>
      </c>
      <c r="W44" s="5">
        <f ca="1">RANK(V44,V6:V64,0)</f>
        <v>45</v>
      </c>
      <c r="X44" s="12">
        <f ca="1">INDIRECT("'"&amp;B44&amp;"'!"&amp;K1&amp;"53")</f>
        <v>1</v>
      </c>
      <c r="Y44" s="199">
        <f t="shared" ca="1" si="15"/>
        <v>7.6923076923076925</v>
      </c>
      <c r="Z44" s="5">
        <f ca="1">RANK(Y44,Y6:Y64,0)</f>
        <v>48</v>
      </c>
      <c r="AA44" s="12">
        <f ca="1">INDIRECT("'"&amp;B44&amp;"'!"&amp;K1&amp;"55")</f>
        <v>0</v>
      </c>
      <c r="AB44" s="199">
        <f t="shared" ca="1" si="16"/>
        <v>0</v>
      </c>
      <c r="AC44" s="5">
        <f ca="1">RANK(AB44,AB6:AB64,0)</f>
        <v>8</v>
      </c>
    </row>
    <row r="45" spans="1:29">
      <c r="A45" s="4" t="s">
        <v>98</v>
      </c>
      <c r="B45" s="204">
        <v>228</v>
      </c>
      <c r="C45" s="5">
        <f ca="1">INDIRECT("'"&amp;B45&amp;"'!"&amp;K1&amp;"5")</f>
        <v>59</v>
      </c>
      <c r="D45" s="5">
        <f ca="1">INDIRECT("'"&amp;B45&amp;"'!"&amp;K1&amp;"4")</f>
        <v>55</v>
      </c>
      <c r="E45" s="5">
        <f t="shared" ca="1" si="7"/>
        <v>7.2727272727272805</v>
      </c>
      <c r="F45" s="5">
        <f t="shared" ca="1" si="8"/>
        <v>11.8</v>
      </c>
      <c r="G45" s="5">
        <f ca="1">INDIRECT("'"&amp;B45&amp;"'!"&amp;K1&amp;"37")</f>
        <v>43</v>
      </c>
      <c r="H45" s="5">
        <f t="shared" ca="1" si="9"/>
        <v>3.5833333333333335</v>
      </c>
      <c r="I45" s="5">
        <f ca="1">INDIRECT("'"&amp;B45&amp;"'!"&amp;K1&amp;"39")</f>
        <v>3</v>
      </c>
      <c r="J45" s="198">
        <f t="shared" ca="1" si="10"/>
        <v>6.9767441860465116</v>
      </c>
      <c r="K45" s="5">
        <f ca="1">RANK(J45,J6:J64,0)</f>
        <v>15</v>
      </c>
      <c r="L45" s="5">
        <f ca="1">INDIRECT("'"&amp;B45&amp;"'!"&amp;K1&amp;"41")</f>
        <v>22</v>
      </c>
      <c r="M45" s="198">
        <f t="shared" ca="1" si="11"/>
        <v>51.162790697674424</v>
      </c>
      <c r="N45" s="5">
        <f ca="1">RANK(M45,M6:M64,0)</f>
        <v>15</v>
      </c>
      <c r="O45" s="12">
        <f ca="1">INDIRECT("'"&amp;B45&amp;"'!"&amp;K1&amp;"43")</f>
        <v>30</v>
      </c>
      <c r="P45" s="199">
        <f t="shared" ca="1" si="12"/>
        <v>69.767441860465112</v>
      </c>
      <c r="Q45" s="5">
        <f ca="1">RANK(P45,P6:P64,0)</f>
        <v>20</v>
      </c>
      <c r="R45" s="12">
        <f ca="1">INDIRECT("'"&amp;B45&amp;"'!"&amp;K1&amp;"49")</f>
        <v>20</v>
      </c>
      <c r="S45" s="199">
        <f t="shared" ca="1" si="13"/>
        <v>46.511627906976742</v>
      </c>
      <c r="T45" s="5">
        <f ca="1">RANK(S45,S6:S64,0)</f>
        <v>46</v>
      </c>
      <c r="U45" s="12">
        <f ca="1">INDIRECT("'"&amp;B45&amp;"'!"&amp;K1&amp;"51")</f>
        <v>16</v>
      </c>
      <c r="V45" s="199">
        <f t="shared" ca="1" si="14"/>
        <v>27.118644067796609</v>
      </c>
      <c r="W45" s="5">
        <f ca="1">RANK(V45,V6:V64,0)</f>
        <v>24</v>
      </c>
      <c r="X45" s="12">
        <f ca="1">INDIRECT("'"&amp;B45&amp;"'!"&amp;K1&amp;"53")</f>
        <v>12</v>
      </c>
      <c r="Y45" s="199">
        <f t="shared" ca="1" si="15"/>
        <v>20.33898305084746</v>
      </c>
      <c r="Z45" s="5">
        <f ca="1">RANK(Y45,Y6:Y64,0)</f>
        <v>15</v>
      </c>
      <c r="AA45" s="12">
        <f ca="1">INDIRECT("'"&amp;B45&amp;"'!"&amp;K1&amp;"55")</f>
        <v>1</v>
      </c>
      <c r="AB45" s="199">
        <f t="shared" ca="1" si="16"/>
        <v>1.6949152542372881</v>
      </c>
      <c r="AC45" s="5">
        <f ca="1">RANK(AB45,AB6:AB64,0)</f>
        <v>6</v>
      </c>
    </row>
    <row r="46" spans="1:29">
      <c r="A46" s="4" t="s">
        <v>99</v>
      </c>
      <c r="B46" s="204">
        <v>229</v>
      </c>
      <c r="C46" s="5">
        <f ca="1">INDIRECT("'"&amp;B46&amp;"'!"&amp;K1&amp;"5")</f>
        <v>32</v>
      </c>
      <c r="D46" s="5">
        <f ca="1">INDIRECT("'"&amp;B46&amp;"'!"&amp;K1&amp;"4")</f>
        <v>47</v>
      </c>
      <c r="E46" s="5">
        <f t="shared" ca="1" si="7"/>
        <v>-31.914893617021278</v>
      </c>
      <c r="F46" s="5">
        <f t="shared" ca="1" si="8"/>
        <v>6.4</v>
      </c>
      <c r="G46" s="5">
        <f ca="1">INDIRECT("'"&amp;B46&amp;"'!"&amp;K1&amp;"37")</f>
        <v>19</v>
      </c>
      <c r="H46" s="5">
        <f t="shared" ca="1" si="9"/>
        <v>1.5833333333333333</v>
      </c>
      <c r="I46" s="5">
        <f ca="1">INDIRECT("'"&amp;B46&amp;"'!"&amp;K1&amp;"39")</f>
        <v>1</v>
      </c>
      <c r="J46" s="198">
        <f t="shared" ca="1" si="10"/>
        <v>5.2631578947368416</v>
      </c>
      <c r="K46" s="5">
        <f ca="1">RANK(J46,J6:J64,0)</f>
        <v>19</v>
      </c>
      <c r="L46" s="5">
        <f ca="1">INDIRECT("'"&amp;B46&amp;"'!"&amp;K1&amp;"41")</f>
        <v>13</v>
      </c>
      <c r="M46" s="198">
        <f t="shared" ca="1" si="11"/>
        <v>68.421052631578945</v>
      </c>
      <c r="N46" s="5">
        <f ca="1">RANK(M46,M6:M64,0)</f>
        <v>2</v>
      </c>
      <c r="O46" s="12">
        <f ca="1">INDIRECT("'"&amp;B46&amp;"'!"&amp;K1&amp;"43")</f>
        <v>12</v>
      </c>
      <c r="P46" s="199">
        <f t="shared" ca="1" si="12"/>
        <v>63.157894736842103</v>
      </c>
      <c r="Q46" s="5">
        <f ca="1">RANK(P46,P6:P64,0)</f>
        <v>29</v>
      </c>
      <c r="R46" s="12">
        <f ca="1">INDIRECT("'"&amp;B46&amp;"'!"&amp;K1&amp;"49")</f>
        <v>10</v>
      </c>
      <c r="S46" s="199">
        <f t="shared" ca="1" si="13"/>
        <v>52.631578947368418</v>
      </c>
      <c r="T46" s="5">
        <f ca="1">RANK(S46,S6:S64,0)</f>
        <v>37</v>
      </c>
      <c r="U46" s="12">
        <f ca="1">INDIRECT("'"&amp;B46&amp;"'!"&amp;K1&amp;"51")</f>
        <v>6</v>
      </c>
      <c r="V46" s="199">
        <f t="shared" ca="1" si="14"/>
        <v>18.75</v>
      </c>
      <c r="W46" s="5">
        <f ca="1">RANK(V46,V6:V64,0)</f>
        <v>36</v>
      </c>
      <c r="X46" s="12">
        <f ca="1">INDIRECT("'"&amp;B46&amp;"'!"&amp;K1&amp;"53")</f>
        <v>6</v>
      </c>
      <c r="Y46" s="199">
        <f t="shared" ca="1" si="15"/>
        <v>18.75</v>
      </c>
      <c r="Z46" s="5">
        <f ca="1">RANK(Y46,Y6:Y64,0)</f>
        <v>19</v>
      </c>
      <c r="AA46" s="12">
        <f ca="1">INDIRECT("'"&amp;B46&amp;"'!"&amp;K1&amp;"55")</f>
        <v>0</v>
      </c>
      <c r="AB46" s="199">
        <f t="shared" ca="1" si="16"/>
        <v>0</v>
      </c>
      <c r="AC46" s="5">
        <f ca="1">RANK(AB46,AB6:AB64,0)</f>
        <v>8</v>
      </c>
    </row>
    <row r="47" spans="1:29">
      <c r="A47" s="4" t="s">
        <v>100</v>
      </c>
      <c r="B47" s="204">
        <v>230</v>
      </c>
      <c r="C47" s="5">
        <f ca="1">INDIRECT("'"&amp;B47&amp;"'!"&amp;K1&amp;"5")</f>
        <v>9</v>
      </c>
      <c r="D47" s="5">
        <f ca="1">INDIRECT("'"&amp;B47&amp;"'!"&amp;K1&amp;"4")</f>
        <v>12</v>
      </c>
      <c r="E47" s="5">
        <f t="shared" ca="1" si="7"/>
        <v>-25</v>
      </c>
      <c r="F47" s="5">
        <f t="shared" ca="1" si="8"/>
        <v>1.8</v>
      </c>
      <c r="G47" s="5">
        <f ca="1">INDIRECT("'"&amp;B47&amp;"'!"&amp;K1&amp;"37")</f>
        <v>5</v>
      </c>
      <c r="H47" s="5">
        <f t="shared" ca="1" si="9"/>
        <v>0.41666666666666669</v>
      </c>
      <c r="I47" s="5">
        <f ca="1">INDIRECT("'"&amp;B47&amp;"'!"&amp;K1&amp;"39")</f>
        <v>0</v>
      </c>
      <c r="J47" s="198">
        <f t="shared" ca="1" si="10"/>
        <v>0</v>
      </c>
      <c r="K47" s="5">
        <f ca="1">RANK(J47,J6:J64,0)</f>
        <v>31</v>
      </c>
      <c r="L47" s="5">
        <f ca="1">INDIRECT("'"&amp;B47&amp;"'!"&amp;K1&amp;"41")</f>
        <v>2</v>
      </c>
      <c r="M47" s="198">
        <f t="shared" ca="1" si="11"/>
        <v>40</v>
      </c>
      <c r="N47" s="5">
        <f ca="1">RANK(M47,M6:M64,0)</f>
        <v>25</v>
      </c>
      <c r="O47" s="12">
        <f ca="1">INDIRECT("'"&amp;B47&amp;"'!"&amp;K1&amp;"43")</f>
        <v>3</v>
      </c>
      <c r="P47" s="199">
        <f t="shared" ca="1" si="12"/>
        <v>60</v>
      </c>
      <c r="Q47" s="5">
        <f ca="1">RANK(P47,P6:P64,0)</f>
        <v>34</v>
      </c>
      <c r="R47" s="12">
        <f ca="1">INDIRECT("'"&amp;B47&amp;"'!"&amp;K1&amp;"49")</f>
        <v>4</v>
      </c>
      <c r="S47" s="199">
        <f t="shared" ca="1" si="13"/>
        <v>80</v>
      </c>
      <c r="T47" s="5">
        <f ca="1">RANK(S47,S6:S64,0)</f>
        <v>8</v>
      </c>
      <c r="U47" s="12">
        <f ca="1">INDIRECT("'"&amp;B47&amp;"'!"&amp;K1&amp;"51")</f>
        <v>2</v>
      </c>
      <c r="V47" s="199">
        <f t="shared" ca="1" si="14"/>
        <v>22.222222222222221</v>
      </c>
      <c r="W47" s="5">
        <f ca="1">RANK(V47,V6:V64,0)</f>
        <v>31</v>
      </c>
      <c r="X47" s="12">
        <f ca="1">INDIRECT("'"&amp;B47&amp;"'!"&amp;K1&amp;"53")</f>
        <v>2</v>
      </c>
      <c r="Y47" s="199">
        <f t="shared" ca="1" si="15"/>
        <v>22.222222222222221</v>
      </c>
      <c r="Z47" s="5">
        <f ca="1">RANK(Y47,Y6:Y64,0)</f>
        <v>11</v>
      </c>
      <c r="AA47" s="12">
        <f ca="1">INDIRECT("'"&amp;B47&amp;"'!"&amp;K1&amp;"55")</f>
        <v>0</v>
      </c>
      <c r="AB47" s="199">
        <f t="shared" ca="1" si="16"/>
        <v>0</v>
      </c>
      <c r="AC47" s="5">
        <f ca="1">RANK(AB47,AB6:AB64,0)</f>
        <v>8</v>
      </c>
    </row>
    <row r="48" spans="1:29">
      <c r="A48" s="4" t="s">
        <v>33</v>
      </c>
      <c r="B48" s="204">
        <v>231</v>
      </c>
      <c r="C48" s="5">
        <f ca="1">INDIRECT("'"&amp;B48&amp;"'!"&amp;K1&amp;"5")</f>
        <v>137</v>
      </c>
      <c r="D48" s="5">
        <f ca="1">INDIRECT("'"&amp;B48&amp;"'!"&amp;K1&amp;"4")</f>
        <v>165</v>
      </c>
      <c r="E48" s="5">
        <f t="shared" ca="1" si="7"/>
        <v>-16.969696969696969</v>
      </c>
      <c r="F48" s="5">
        <f t="shared" ca="1" si="8"/>
        <v>27.4</v>
      </c>
      <c r="G48" s="5">
        <f ca="1">INDIRECT("'"&amp;B48&amp;"'!"&amp;K1&amp;"37")</f>
        <v>99</v>
      </c>
      <c r="H48" s="5">
        <f t="shared" ca="1" si="9"/>
        <v>8.25</v>
      </c>
      <c r="I48" s="5">
        <f ca="1">INDIRECT("'"&amp;B48&amp;"'!"&amp;K1&amp;"39")</f>
        <v>5</v>
      </c>
      <c r="J48" s="198">
        <f t="shared" ca="1" si="10"/>
        <v>5.0505050505050502</v>
      </c>
      <c r="K48" s="5">
        <f ca="1">RANK(J48,J6:J64,0)</f>
        <v>20</v>
      </c>
      <c r="L48" s="5">
        <f ca="1">INDIRECT("'"&amp;B48&amp;"'!"&amp;K1&amp;"41")</f>
        <v>30</v>
      </c>
      <c r="M48" s="198">
        <f t="shared" ca="1" si="11"/>
        <v>30.303030303030305</v>
      </c>
      <c r="N48" s="5">
        <f ca="1">RANK(M48,M6:M64,0)</f>
        <v>42</v>
      </c>
      <c r="O48" s="12">
        <f ca="1">INDIRECT("'"&amp;B48&amp;"'!"&amp;K1&amp;"43")</f>
        <v>51</v>
      </c>
      <c r="P48" s="199">
        <f t="shared" ca="1" si="12"/>
        <v>51.515151515151516</v>
      </c>
      <c r="Q48" s="5">
        <f ca="1">RANK(P48,P6:P64,0)</f>
        <v>47</v>
      </c>
      <c r="R48" s="12">
        <f ca="1">INDIRECT("'"&amp;B48&amp;"'!"&amp;K1&amp;"49")</f>
        <v>50</v>
      </c>
      <c r="S48" s="199">
        <f t="shared" ca="1" si="13"/>
        <v>50.505050505050505</v>
      </c>
      <c r="T48" s="5">
        <f ca="1">RANK(S48,S6:S64,0)</f>
        <v>38</v>
      </c>
      <c r="U48" s="12">
        <f ca="1">INDIRECT("'"&amp;B48&amp;"'!"&amp;K1&amp;"51")</f>
        <v>44</v>
      </c>
      <c r="V48" s="199">
        <f t="shared" ca="1" si="14"/>
        <v>32.116788321167881</v>
      </c>
      <c r="W48" s="5">
        <f ca="1">RANK(V48,V6:V64,0)</f>
        <v>16</v>
      </c>
      <c r="X48" s="12">
        <f ca="1">INDIRECT("'"&amp;B48&amp;"'!"&amp;K1&amp;"53")</f>
        <v>15</v>
      </c>
      <c r="Y48" s="199">
        <f t="shared" ca="1" si="15"/>
        <v>10.948905109489052</v>
      </c>
      <c r="Z48" s="5">
        <f ca="1">RANK(Y48,Y6:Y64,0)</f>
        <v>45</v>
      </c>
      <c r="AA48" s="12">
        <f ca="1">INDIRECT("'"&amp;B48&amp;"'!"&amp;K1&amp;"55")</f>
        <v>0</v>
      </c>
      <c r="AB48" s="199">
        <f t="shared" ca="1" si="16"/>
        <v>0</v>
      </c>
      <c r="AC48" s="5">
        <f ca="1">RANK(AB48,AB6:AB64,0)</f>
        <v>8</v>
      </c>
    </row>
    <row r="49" spans="1:29">
      <c r="A49" s="4" t="s">
        <v>101</v>
      </c>
      <c r="B49" s="204">
        <v>232</v>
      </c>
      <c r="C49" s="5">
        <f ca="1">INDIRECT("'"&amp;B49&amp;"'!"&amp;K1&amp;"5")</f>
        <v>13</v>
      </c>
      <c r="D49" s="5">
        <f ca="1">INDIRECT("'"&amp;B49&amp;"'!"&amp;K1&amp;"4")</f>
        <v>7</v>
      </c>
      <c r="E49" s="5">
        <f t="shared" ca="1" si="7"/>
        <v>85.714285714285722</v>
      </c>
      <c r="F49" s="5">
        <f t="shared" ca="1" si="8"/>
        <v>2.6</v>
      </c>
      <c r="G49" s="5">
        <f ca="1">INDIRECT("'"&amp;B49&amp;"'!"&amp;K1&amp;"37")</f>
        <v>7</v>
      </c>
      <c r="H49" s="5">
        <f t="shared" ca="1" si="9"/>
        <v>0.58333333333333337</v>
      </c>
      <c r="I49" s="5">
        <f ca="1">INDIRECT("'"&amp;B49&amp;"'!"&amp;K1&amp;"39")</f>
        <v>0</v>
      </c>
      <c r="J49" s="198">
        <f t="shared" ca="1" si="10"/>
        <v>0</v>
      </c>
      <c r="K49" s="5">
        <f ca="1">RANK(J49,J6:J64,0)</f>
        <v>31</v>
      </c>
      <c r="L49" s="5">
        <f ca="1">INDIRECT("'"&amp;B49&amp;"'!"&amp;K1&amp;"41")</f>
        <v>0</v>
      </c>
      <c r="M49" s="198">
        <f t="shared" ca="1" si="11"/>
        <v>0</v>
      </c>
      <c r="N49" s="5">
        <f ca="1">RANK(M49,M6:M64,0)</f>
        <v>59</v>
      </c>
      <c r="O49" s="12">
        <f ca="1">INDIRECT("'"&amp;B49&amp;"'!"&amp;K1&amp;"43")</f>
        <v>5</v>
      </c>
      <c r="P49" s="199">
        <f t="shared" ca="1" si="12"/>
        <v>71.428571428571431</v>
      </c>
      <c r="Q49" s="5">
        <f ca="1">RANK(P49,P6:P64,0)</f>
        <v>19</v>
      </c>
      <c r="R49" s="12">
        <f ca="1">INDIRECT("'"&amp;B49&amp;"'!"&amp;K1&amp;"49")</f>
        <v>6</v>
      </c>
      <c r="S49" s="199">
        <f t="shared" ca="1" si="13"/>
        <v>85.714285714285708</v>
      </c>
      <c r="T49" s="5">
        <f ca="1">RANK(S49,S6:S64,0)</f>
        <v>5</v>
      </c>
      <c r="U49" s="12">
        <f ca="1">INDIRECT("'"&amp;B49&amp;"'!"&amp;K1&amp;"51")</f>
        <v>1</v>
      </c>
      <c r="V49" s="199">
        <f t="shared" ca="1" si="14"/>
        <v>7.6923076923076925</v>
      </c>
      <c r="W49" s="5">
        <f ca="1">RANK(V49,V6:V64,0)</f>
        <v>55</v>
      </c>
      <c r="X49" s="12">
        <f ca="1">INDIRECT("'"&amp;B49&amp;"'!"&amp;K1&amp;"53")</f>
        <v>1</v>
      </c>
      <c r="Y49" s="199">
        <f t="shared" ca="1" si="15"/>
        <v>7.6923076923076925</v>
      </c>
      <c r="Z49" s="5">
        <f ca="1">RANK(Y49,Y6:Y64,0)</f>
        <v>48</v>
      </c>
      <c r="AA49" s="12">
        <f ca="1">INDIRECT("'"&amp;B49&amp;"'!"&amp;K1&amp;"55")</f>
        <v>0</v>
      </c>
      <c r="AB49" s="199">
        <f t="shared" ca="1" si="16"/>
        <v>0</v>
      </c>
      <c r="AC49" s="5">
        <f ca="1">RANK(AB49,AB6:AB64,0)</f>
        <v>8</v>
      </c>
    </row>
    <row r="50" spans="1:29">
      <c r="A50" s="4" t="s">
        <v>102</v>
      </c>
      <c r="B50" s="204">
        <v>233</v>
      </c>
      <c r="C50" s="5">
        <f ca="1">INDIRECT("'"&amp;B50&amp;"'!"&amp;K1&amp;"5")</f>
        <v>5</v>
      </c>
      <c r="D50" s="5">
        <f ca="1">INDIRECT("'"&amp;B50&amp;"'!"&amp;K1&amp;"4")</f>
        <v>7</v>
      </c>
      <c r="E50" s="5">
        <f t="shared" ca="1" si="7"/>
        <v>-28.571428571428569</v>
      </c>
      <c r="F50" s="5">
        <f t="shared" ca="1" si="8"/>
        <v>1</v>
      </c>
      <c r="G50" s="5">
        <f ca="1">INDIRECT("'"&amp;B50&amp;"'!"&amp;K1&amp;"37")</f>
        <v>4</v>
      </c>
      <c r="H50" s="5">
        <f t="shared" ca="1" si="9"/>
        <v>0.33333333333333331</v>
      </c>
      <c r="I50" s="5">
        <f ca="1">INDIRECT("'"&amp;B50&amp;"'!"&amp;K1&amp;"39")</f>
        <v>1</v>
      </c>
      <c r="J50" s="198">
        <f t="shared" ca="1" si="10"/>
        <v>25</v>
      </c>
      <c r="K50" s="5">
        <f ca="1">RANK(J50,J6:J64,0)</f>
        <v>2</v>
      </c>
      <c r="L50" s="5">
        <f ca="1">INDIRECT("'"&amp;B50&amp;"'!"&amp;K1&amp;"41")</f>
        <v>1</v>
      </c>
      <c r="M50" s="198">
        <f t="shared" ca="1" si="11"/>
        <v>25</v>
      </c>
      <c r="N50" s="5">
        <f ca="1">RANK(M50,M6:M64,0)</f>
        <v>52</v>
      </c>
      <c r="O50" s="12">
        <f ca="1">INDIRECT("'"&amp;B50&amp;"'!"&amp;K1&amp;"43")</f>
        <v>0</v>
      </c>
      <c r="P50" s="199">
        <f t="shared" ca="1" si="12"/>
        <v>0</v>
      </c>
      <c r="Q50" s="5">
        <f ca="1">RANK(P50,P6:P64,0)</f>
        <v>58</v>
      </c>
      <c r="R50" s="12">
        <f ca="1">INDIRECT("'"&amp;B50&amp;"'!"&amp;K1&amp;"49")</f>
        <v>1</v>
      </c>
      <c r="S50" s="199">
        <f t="shared" ca="1" si="13"/>
        <v>25</v>
      </c>
      <c r="T50" s="5">
        <f ca="1">RANK(S50,S6:S64,0)</f>
        <v>57</v>
      </c>
      <c r="U50" s="12">
        <f ca="1">INDIRECT("'"&amp;B50&amp;"'!"&amp;K1&amp;"51")</f>
        <v>1</v>
      </c>
      <c r="V50" s="199">
        <f t="shared" ca="1" si="14"/>
        <v>20</v>
      </c>
      <c r="W50" s="5">
        <f ca="1">RANK(V50,V6:V64,0)</f>
        <v>34</v>
      </c>
      <c r="X50" s="12">
        <f ca="1">INDIRECT("'"&amp;B50&amp;"'!"&amp;K1&amp;"53")</f>
        <v>1</v>
      </c>
      <c r="Y50" s="199">
        <f t="shared" ca="1" si="15"/>
        <v>20</v>
      </c>
      <c r="Z50" s="5">
        <f ca="1">RANK(Y50,Y6:Y64,0)</f>
        <v>16</v>
      </c>
      <c r="AA50" s="12">
        <f ca="1">INDIRECT("'"&amp;B50&amp;"'!"&amp;K1&amp;"55")</f>
        <v>0</v>
      </c>
      <c r="AB50" s="199">
        <f t="shared" ca="1" si="16"/>
        <v>0</v>
      </c>
      <c r="AC50" s="5">
        <f ca="1">RANK(AB50,AB6:AB64,0)</f>
        <v>8</v>
      </c>
    </row>
    <row r="51" spans="1:29">
      <c r="A51" s="4" t="s">
        <v>103</v>
      </c>
      <c r="B51" s="204">
        <v>234</v>
      </c>
      <c r="C51" s="5">
        <f ca="1">INDIRECT("'"&amp;B51&amp;"'!"&amp;K1&amp;"5")</f>
        <v>31</v>
      </c>
      <c r="D51" s="5">
        <f ca="1">INDIRECT("'"&amp;B51&amp;"'!"&amp;K1&amp;"4")</f>
        <v>33</v>
      </c>
      <c r="E51" s="5">
        <f t="shared" ca="1" si="7"/>
        <v>-6.0606060606060623</v>
      </c>
      <c r="F51" s="5">
        <f t="shared" ca="1" si="8"/>
        <v>6.2</v>
      </c>
      <c r="G51" s="5">
        <f ca="1">INDIRECT("'"&amp;B51&amp;"'!"&amp;K1&amp;"37")</f>
        <v>26</v>
      </c>
      <c r="H51" s="5">
        <f t="shared" ca="1" si="9"/>
        <v>2.1666666666666665</v>
      </c>
      <c r="I51" s="5">
        <f ca="1">INDIRECT("'"&amp;B51&amp;"'!"&amp;K1&amp;"39")</f>
        <v>0</v>
      </c>
      <c r="J51" s="198">
        <f t="shared" ca="1" si="10"/>
        <v>0</v>
      </c>
      <c r="K51" s="5">
        <f ca="1">RANK(J51,J6:J64,0)</f>
        <v>31</v>
      </c>
      <c r="L51" s="5">
        <f ca="1">INDIRECT("'"&amp;B51&amp;"'!"&amp;K1&amp;"41")</f>
        <v>10</v>
      </c>
      <c r="M51" s="198">
        <f t="shared" ca="1" si="11"/>
        <v>38.461538461538467</v>
      </c>
      <c r="N51" s="5">
        <f ca="1">RANK(M51,M6:M64,0)</f>
        <v>29</v>
      </c>
      <c r="O51" s="12">
        <f ca="1">INDIRECT("'"&amp;B51&amp;"'!"&amp;K1&amp;"43")</f>
        <v>14</v>
      </c>
      <c r="P51" s="199">
        <f t="shared" ca="1" si="12"/>
        <v>53.846153846153847</v>
      </c>
      <c r="Q51" s="5">
        <f ca="1">RANK(P51,P6:P64,0)</f>
        <v>45</v>
      </c>
      <c r="R51" s="12">
        <f ca="1">INDIRECT("'"&amp;B51&amp;"'!"&amp;K1&amp;"49")</f>
        <v>19</v>
      </c>
      <c r="S51" s="199">
        <f t="shared" ca="1" si="13"/>
        <v>73.076923076923066</v>
      </c>
      <c r="T51" s="5">
        <f ca="1">RANK(S51,S6:S64,0)</f>
        <v>14</v>
      </c>
      <c r="U51" s="12">
        <f ca="1">INDIRECT("'"&amp;B51&amp;"'!"&amp;K1&amp;"51")</f>
        <v>10</v>
      </c>
      <c r="V51" s="199">
        <f t="shared" ca="1" si="14"/>
        <v>32.258064516129032</v>
      </c>
      <c r="W51" s="5">
        <f ca="1">RANK(V51,V6:V64,0)</f>
        <v>15</v>
      </c>
      <c r="X51" s="12">
        <f ca="1">INDIRECT("'"&amp;B51&amp;"'!"&amp;K1&amp;"53")</f>
        <v>8</v>
      </c>
      <c r="Y51" s="199">
        <f t="shared" ca="1" si="15"/>
        <v>25.806451612903224</v>
      </c>
      <c r="Z51" s="5">
        <f ca="1">RANK(Y51,Y6:Y64,0)</f>
        <v>7</v>
      </c>
      <c r="AA51" s="12">
        <f ca="1">INDIRECT("'"&amp;B51&amp;"'!"&amp;K1&amp;"55")</f>
        <v>0</v>
      </c>
      <c r="AB51" s="199">
        <f t="shared" ca="1" si="16"/>
        <v>0</v>
      </c>
      <c r="AC51" s="5">
        <f ca="1">RANK(AB51,AB6:AB64,0)</f>
        <v>8</v>
      </c>
    </row>
    <row r="52" spans="1:29">
      <c r="A52" s="4" t="s">
        <v>104</v>
      </c>
      <c r="B52" s="204">
        <v>235</v>
      </c>
      <c r="C52" s="5">
        <f ca="1">INDIRECT("'"&amp;B52&amp;"'!"&amp;K1&amp;"5")</f>
        <v>6</v>
      </c>
      <c r="D52" s="5">
        <f ca="1">INDIRECT("'"&amp;B52&amp;"'!"&amp;K1&amp;"4")</f>
        <v>7</v>
      </c>
      <c r="E52" s="5">
        <f t="shared" ca="1" si="7"/>
        <v>-14.285714285714292</v>
      </c>
      <c r="F52" s="5">
        <f t="shared" ca="1" si="8"/>
        <v>1.2</v>
      </c>
      <c r="G52" s="5">
        <f ca="1">INDIRECT("'"&amp;B52&amp;"'!"&amp;K1&amp;"37")</f>
        <v>6</v>
      </c>
      <c r="H52" s="5">
        <f t="shared" ca="1" si="9"/>
        <v>0.5</v>
      </c>
      <c r="I52" s="5">
        <f ca="1">INDIRECT("'"&amp;B52&amp;"'!"&amp;K1&amp;"39")</f>
        <v>0</v>
      </c>
      <c r="J52" s="198">
        <f t="shared" ca="1" si="10"/>
        <v>0</v>
      </c>
      <c r="K52" s="5">
        <f ca="1">RANK(J52,J6:J64,0)</f>
        <v>31</v>
      </c>
      <c r="L52" s="5">
        <f ca="1">INDIRECT("'"&amp;B52&amp;"'!"&amp;K1&amp;"41")</f>
        <v>3</v>
      </c>
      <c r="M52" s="198">
        <f t="shared" ca="1" si="11"/>
        <v>50</v>
      </c>
      <c r="N52" s="5">
        <f ca="1">RANK(M52,M6:M64,0)</f>
        <v>16</v>
      </c>
      <c r="O52" s="12">
        <f ca="1">INDIRECT("'"&amp;B52&amp;"'!"&amp;K1&amp;"43")</f>
        <v>4</v>
      </c>
      <c r="P52" s="199">
        <f t="shared" ca="1" si="12"/>
        <v>66.666666666666657</v>
      </c>
      <c r="Q52" s="5">
        <f ca="1">RANK(P52,P6:P64,0)</f>
        <v>22</v>
      </c>
      <c r="R52" s="12">
        <f ca="1">INDIRECT("'"&amp;B52&amp;"'!"&amp;K1&amp;"49")</f>
        <v>3</v>
      </c>
      <c r="S52" s="199">
        <f t="shared" ca="1" si="13"/>
        <v>50</v>
      </c>
      <c r="T52" s="5">
        <f ca="1">RANK(S52,S6:S64,0)</f>
        <v>39</v>
      </c>
      <c r="U52" s="12">
        <f ca="1">INDIRECT("'"&amp;B52&amp;"'!"&amp;K1&amp;"51")</f>
        <v>2</v>
      </c>
      <c r="V52" s="199">
        <f t="shared" ca="1" si="14"/>
        <v>33.333333333333329</v>
      </c>
      <c r="W52" s="5">
        <f ca="1">RANK(V52,V6:V64,0)</f>
        <v>13</v>
      </c>
      <c r="X52" s="12">
        <f ca="1">INDIRECT("'"&amp;B52&amp;"'!"&amp;K1&amp;"53")</f>
        <v>2</v>
      </c>
      <c r="Y52" s="199">
        <f t="shared" ca="1" si="15"/>
        <v>33.333333333333329</v>
      </c>
      <c r="Z52" s="5">
        <f ca="1">RANK(Y52,Y6:Y64,0)</f>
        <v>2</v>
      </c>
      <c r="AA52" s="12">
        <f ca="1">INDIRECT("'"&amp;B52&amp;"'!"&amp;K1&amp;"55")</f>
        <v>0</v>
      </c>
      <c r="AB52" s="199">
        <f t="shared" ca="1" si="16"/>
        <v>0</v>
      </c>
      <c r="AC52" s="5">
        <f ca="1">RANK(AB52,AB6:AB64,0)</f>
        <v>8</v>
      </c>
    </row>
    <row r="53" spans="1:29">
      <c r="A53" s="4" t="s">
        <v>105</v>
      </c>
      <c r="B53" s="204">
        <v>236</v>
      </c>
      <c r="C53" s="5">
        <f ca="1">INDIRECT("'"&amp;B53&amp;"'!"&amp;K1&amp;"5")</f>
        <v>11</v>
      </c>
      <c r="D53" s="5">
        <f ca="1">INDIRECT("'"&amp;B53&amp;"'!"&amp;K1&amp;"4")</f>
        <v>13</v>
      </c>
      <c r="E53" s="5">
        <f t="shared" ca="1" si="7"/>
        <v>-15.384615384615387</v>
      </c>
      <c r="F53" s="5">
        <f t="shared" ca="1" si="8"/>
        <v>2.2000000000000002</v>
      </c>
      <c r="G53" s="5">
        <f ca="1">INDIRECT("'"&amp;B53&amp;"'!"&amp;K1&amp;"37")</f>
        <v>8</v>
      </c>
      <c r="H53" s="5">
        <f t="shared" ca="1" si="9"/>
        <v>0.66666666666666663</v>
      </c>
      <c r="I53" s="5">
        <f ca="1">INDIRECT("'"&amp;B53&amp;"'!"&amp;K1&amp;"39")</f>
        <v>0</v>
      </c>
      <c r="J53" s="198">
        <f t="shared" ca="1" si="10"/>
        <v>0</v>
      </c>
      <c r="K53" s="5">
        <f ca="1">RANK(J53,J6:J64,0)</f>
        <v>31</v>
      </c>
      <c r="L53" s="5">
        <f ca="1">INDIRECT("'"&amp;B53&amp;"'!"&amp;K1&amp;"41")</f>
        <v>7</v>
      </c>
      <c r="M53" s="198">
        <f t="shared" ca="1" si="11"/>
        <v>87.5</v>
      </c>
      <c r="N53" s="5">
        <f ca="1">RANK(M53,M6:M64,0)</f>
        <v>1</v>
      </c>
      <c r="O53" s="12">
        <f ca="1">INDIRECT("'"&amp;B53&amp;"'!"&amp;K1&amp;"43")</f>
        <v>5</v>
      </c>
      <c r="P53" s="199">
        <f t="shared" ca="1" si="12"/>
        <v>62.5</v>
      </c>
      <c r="Q53" s="5">
        <f ca="1">RANK(P53,P6:P64,0)</f>
        <v>30</v>
      </c>
      <c r="R53" s="12">
        <f ca="1">INDIRECT("'"&amp;B53&amp;"'!"&amp;K1&amp;"49")</f>
        <v>4</v>
      </c>
      <c r="S53" s="199">
        <f t="shared" ca="1" si="13"/>
        <v>50</v>
      </c>
      <c r="T53" s="5">
        <f ca="1">RANK(S53,S6:S64,0)</f>
        <v>39</v>
      </c>
      <c r="U53" s="12">
        <f ca="1">INDIRECT("'"&amp;B53&amp;"'!"&amp;K1&amp;"51")</f>
        <v>2</v>
      </c>
      <c r="V53" s="199">
        <f t="shared" ca="1" si="14"/>
        <v>18.181818181818183</v>
      </c>
      <c r="W53" s="5">
        <f ca="1">RANK(V53,V6:V64,0)</f>
        <v>40</v>
      </c>
      <c r="X53" s="12">
        <f ca="1">INDIRECT("'"&amp;B53&amp;"'!"&amp;K1&amp;"53")</f>
        <v>2</v>
      </c>
      <c r="Y53" s="199">
        <f t="shared" ca="1" si="15"/>
        <v>18.181818181818183</v>
      </c>
      <c r="Z53" s="5">
        <f ca="1">RANK(Y53,Y6:Y64,0)</f>
        <v>22</v>
      </c>
      <c r="AA53" s="12">
        <f ca="1">INDIRECT("'"&amp;B53&amp;"'!"&amp;K1&amp;"55")</f>
        <v>0</v>
      </c>
      <c r="AB53" s="199">
        <f t="shared" ca="1" si="16"/>
        <v>0</v>
      </c>
      <c r="AC53" s="5">
        <f ca="1">RANK(AB53,AB6:AB64,0)</f>
        <v>8</v>
      </c>
    </row>
    <row r="54" spans="1:29">
      <c r="A54" s="4" t="s">
        <v>34</v>
      </c>
      <c r="B54" s="204">
        <v>252</v>
      </c>
      <c r="C54" s="5">
        <f ca="1">INDIRECT("'"&amp;B54&amp;"'!"&amp;K1&amp;"5")</f>
        <v>27</v>
      </c>
      <c r="D54" s="5">
        <f ca="1">INDIRECT("'"&amp;B54&amp;"'!"&amp;K1&amp;"4")</f>
        <v>31</v>
      </c>
      <c r="E54" s="5">
        <f t="shared" ca="1" si="7"/>
        <v>-12.903225806451616</v>
      </c>
      <c r="F54" s="5">
        <f t="shared" ca="1" si="8"/>
        <v>5.4</v>
      </c>
      <c r="G54" s="5">
        <f ca="1">INDIRECT("'"&amp;B54&amp;"'!"&amp;K1&amp;"37")</f>
        <v>12</v>
      </c>
      <c r="H54" s="5">
        <f t="shared" ca="1" si="9"/>
        <v>1</v>
      </c>
      <c r="I54" s="5">
        <f ca="1">INDIRECT("'"&amp;B54&amp;"'!"&amp;K1&amp;"39")</f>
        <v>1</v>
      </c>
      <c r="J54" s="198">
        <f t="shared" ca="1" si="10"/>
        <v>8.3333333333333321</v>
      </c>
      <c r="K54" s="5">
        <f ca="1">RANK(J54,J6:J64,0)</f>
        <v>10</v>
      </c>
      <c r="L54" s="5">
        <f ca="1">INDIRECT("'"&amp;B54&amp;"'!"&amp;K1&amp;"41")</f>
        <v>7</v>
      </c>
      <c r="M54" s="198">
        <f t="shared" ca="1" si="11"/>
        <v>58.333333333333336</v>
      </c>
      <c r="N54" s="5">
        <f ca="1">RANK(M54,M6:M64,0)</f>
        <v>8</v>
      </c>
      <c r="O54" s="12">
        <f ca="1">INDIRECT("'"&amp;B54&amp;"'!"&amp;K1&amp;"43")</f>
        <v>11</v>
      </c>
      <c r="P54" s="199">
        <f t="shared" ca="1" si="12"/>
        <v>91.666666666666657</v>
      </c>
      <c r="Q54" s="5">
        <f ca="1">RANK(P54,P6:P64,0)</f>
        <v>5</v>
      </c>
      <c r="R54" s="12">
        <f ca="1">INDIRECT("'"&amp;B54&amp;"'!"&amp;K1&amp;"49")</f>
        <v>11</v>
      </c>
      <c r="S54" s="199">
        <f t="shared" ca="1" si="13"/>
        <v>91.666666666666657</v>
      </c>
      <c r="T54" s="5">
        <f ca="1">RANK(S54,S6:S64,0)</f>
        <v>3</v>
      </c>
      <c r="U54" s="12">
        <f ca="1">INDIRECT("'"&amp;B54&amp;"'!"&amp;K1&amp;"51")</f>
        <v>10</v>
      </c>
      <c r="V54" s="199">
        <f t="shared" ca="1" si="14"/>
        <v>37.037037037037038</v>
      </c>
      <c r="W54" s="5">
        <f ca="1">RANK(V54,V6:V64,0)</f>
        <v>11</v>
      </c>
      <c r="X54" s="12">
        <f ca="1">INDIRECT("'"&amp;B54&amp;"'!"&amp;K1&amp;"53")</f>
        <v>4</v>
      </c>
      <c r="Y54" s="199">
        <f t="shared" ca="1" si="15"/>
        <v>14.814814814814813</v>
      </c>
      <c r="Z54" s="5">
        <f ca="1">RANK(Y54,Y6:Y64,0)</f>
        <v>32</v>
      </c>
      <c r="AA54" s="12">
        <f ca="1">INDIRECT("'"&amp;B54&amp;"'!"&amp;K1&amp;"55")</f>
        <v>0</v>
      </c>
      <c r="AB54" s="199">
        <f t="shared" ca="1" si="16"/>
        <v>0</v>
      </c>
      <c r="AC54" s="5">
        <f ca="1">RANK(AB54,AB6:AB64,0)</f>
        <v>8</v>
      </c>
    </row>
    <row r="55" spans="1:29">
      <c r="A55" s="4" t="s">
        <v>106</v>
      </c>
      <c r="B55" s="204">
        <v>237</v>
      </c>
      <c r="C55" s="5">
        <f ca="1">INDIRECT("'"&amp;B55&amp;"'!"&amp;K1&amp;"5")</f>
        <v>22</v>
      </c>
      <c r="D55" s="5">
        <f ca="1">INDIRECT("'"&amp;B55&amp;"'!"&amp;K1&amp;"4")</f>
        <v>25</v>
      </c>
      <c r="E55" s="5">
        <f t="shared" ca="1" si="7"/>
        <v>-12</v>
      </c>
      <c r="F55" s="5">
        <f t="shared" ca="1" si="8"/>
        <v>4.4000000000000004</v>
      </c>
      <c r="G55" s="5">
        <f ca="1">INDIRECT("'"&amp;B55&amp;"'!"&amp;K1&amp;"37")</f>
        <v>15</v>
      </c>
      <c r="H55" s="5">
        <f t="shared" ca="1" si="9"/>
        <v>1.25</v>
      </c>
      <c r="I55" s="5">
        <f ca="1">INDIRECT("'"&amp;B55&amp;"'!"&amp;K1&amp;"39")</f>
        <v>1</v>
      </c>
      <c r="J55" s="198">
        <f t="shared" ca="1" si="10"/>
        <v>6.666666666666667</v>
      </c>
      <c r="K55" s="5">
        <f ca="1">RANK(J55,J6:J64,0)</f>
        <v>16</v>
      </c>
      <c r="L55" s="5">
        <f ca="1">INDIRECT("'"&amp;B55&amp;"'!"&amp;K1&amp;"41")</f>
        <v>7</v>
      </c>
      <c r="M55" s="198">
        <f t="shared" ca="1" si="11"/>
        <v>46.666666666666664</v>
      </c>
      <c r="N55" s="5">
        <f ca="1">RANK(M55,M6:M64,0)</f>
        <v>20</v>
      </c>
      <c r="O55" s="12">
        <f ca="1">INDIRECT("'"&amp;B55&amp;"'!"&amp;K1&amp;"43")</f>
        <v>6</v>
      </c>
      <c r="P55" s="199">
        <f t="shared" ca="1" si="12"/>
        <v>40</v>
      </c>
      <c r="Q55" s="5">
        <f ca="1">RANK(P55,P6:P64,0)</f>
        <v>54</v>
      </c>
      <c r="R55" s="12">
        <f ca="1">INDIRECT("'"&amp;B55&amp;"'!"&amp;K1&amp;"49")</f>
        <v>7</v>
      </c>
      <c r="S55" s="199">
        <f t="shared" ca="1" si="13"/>
        <v>46.666666666666664</v>
      </c>
      <c r="T55" s="5">
        <f ca="1">RANK(S55,S6:S64,0)</f>
        <v>45</v>
      </c>
      <c r="U55" s="12">
        <f ca="1">INDIRECT("'"&amp;B55&amp;"'!"&amp;K1&amp;"51")</f>
        <v>5</v>
      </c>
      <c r="V55" s="199">
        <f t="shared" ca="1" si="14"/>
        <v>22.727272727272727</v>
      </c>
      <c r="W55" s="5">
        <f ca="1">RANK(V55,V6:V64,0)</f>
        <v>30</v>
      </c>
      <c r="X55" s="12">
        <f ca="1">INDIRECT("'"&amp;B55&amp;"'!"&amp;K1&amp;"53")</f>
        <v>4</v>
      </c>
      <c r="Y55" s="199">
        <f t="shared" ca="1" si="15"/>
        <v>18.181818181818183</v>
      </c>
      <c r="Z55" s="5">
        <f ca="1">RANK(Y55,Y6:Y64,0)</f>
        <v>22</v>
      </c>
      <c r="AA55" s="12">
        <f ca="1">INDIRECT("'"&amp;B55&amp;"'!"&amp;K1&amp;"55")</f>
        <v>0</v>
      </c>
      <c r="AB55" s="199">
        <f t="shared" ca="1" si="16"/>
        <v>0</v>
      </c>
      <c r="AC55" s="5">
        <f ca="1">RANK(AB55,AB6:AB64,0)</f>
        <v>8</v>
      </c>
    </row>
    <row r="56" spans="1:29">
      <c r="A56" s="4" t="s">
        <v>107</v>
      </c>
      <c r="B56" s="204">
        <v>301</v>
      </c>
      <c r="C56" s="5">
        <f ca="1">INDIRECT("'"&amp;B56&amp;"'!"&amp;K1&amp;"5")</f>
        <v>23</v>
      </c>
      <c r="D56" s="5">
        <f ca="1">INDIRECT("'"&amp;B56&amp;"'!"&amp;K1&amp;"4")</f>
        <v>38</v>
      </c>
      <c r="E56" s="5">
        <f t="shared" ca="1" si="7"/>
        <v>-39.473684210526315</v>
      </c>
      <c r="F56" s="5">
        <f t="shared" ca="1" si="8"/>
        <v>4.5999999999999996</v>
      </c>
      <c r="G56" s="5">
        <f ca="1">INDIRECT("'"&amp;B56&amp;"'!"&amp;K1&amp;"37")</f>
        <v>20</v>
      </c>
      <c r="H56" s="5">
        <f t="shared" ca="1" si="9"/>
        <v>1.6666666666666667</v>
      </c>
      <c r="I56" s="5">
        <f ca="1">INDIRECT("'"&amp;B56&amp;"'!"&amp;K1&amp;"39")</f>
        <v>1</v>
      </c>
      <c r="J56" s="198">
        <f t="shared" ca="1" si="10"/>
        <v>5</v>
      </c>
      <c r="K56" s="5">
        <f ca="1">RANK(J56,J6:J64,0)</f>
        <v>21</v>
      </c>
      <c r="L56" s="5">
        <f ca="1">INDIRECT("'"&amp;B56&amp;"'!"&amp;K1&amp;"41")</f>
        <v>11</v>
      </c>
      <c r="M56" s="198">
        <f t="shared" ca="1" si="11"/>
        <v>55.000000000000007</v>
      </c>
      <c r="N56" s="5">
        <f ca="1">RANK(M56,M6:M64,0)</f>
        <v>12</v>
      </c>
      <c r="O56" s="12">
        <f ca="1">INDIRECT("'"&amp;B56&amp;"'!"&amp;K1&amp;"43")</f>
        <v>13</v>
      </c>
      <c r="P56" s="199">
        <f t="shared" ca="1" si="12"/>
        <v>65</v>
      </c>
      <c r="Q56" s="5">
        <f ca="1">RANK(P56,P6:P64,0)</f>
        <v>25</v>
      </c>
      <c r="R56" s="12">
        <f ca="1">INDIRECT("'"&amp;B56&amp;"'!"&amp;K1&amp;"49")</f>
        <v>9</v>
      </c>
      <c r="S56" s="199">
        <f t="shared" ca="1" si="13"/>
        <v>45</v>
      </c>
      <c r="T56" s="5">
        <f ca="1">RANK(S56,S6:S64,0)</f>
        <v>49</v>
      </c>
      <c r="U56" s="12">
        <f ca="1">INDIRECT("'"&amp;B56&amp;"'!"&amp;K1&amp;"51")</f>
        <v>8</v>
      </c>
      <c r="V56" s="199">
        <f t="shared" ca="1" si="14"/>
        <v>34.782608695652172</v>
      </c>
      <c r="W56" s="5">
        <f ca="1">RANK(V56,V6:V64,0)</f>
        <v>12</v>
      </c>
      <c r="X56" s="12">
        <f ca="1">INDIRECT("'"&amp;B56&amp;"'!"&amp;K1&amp;"53")</f>
        <v>4</v>
      </c>
      <c r="Y56" s="199">
        <f t="shared" ca="1" si="15"/>
        <v>17.391304347826086</v>
      </c>
      <c r="Z56" s="5">
        <f ca="1">RANK(Y56,Y6:Y64,0)</f>
        <v>26</v>
      </c>
      <c r="AA56" s="12">
        <f ca="1">INDIRECT("'"&amp;B56&amp;"'!"&amp;K1&amp;"55")</f>
        <v>0</v>
      </c>
      <c r="AB56" s="199">
        <f t="shared" ca="1" si="16"/>
        <v>0</v>
      </c>
      <c r="AC56" s="5">
        <f ca="1">RANK(AB56,AB6:AB64,0)</f>
        <v>8</v>
      </c>
    </row>
    <row r="57" spans="1:29">
      <c r="A57" s="4" t="s">
        <v>108</v>
      </c>
      <c r="B57" s="204">
        <v>238</v>
      </c>
      <c r="C57" s="5">
        <f ca="1">INDIRECT("'"&amp;B57&amp;"'!"&amp;K1&amp;"5")</f>
        <v>8</v>
      </c>
      <c r="D57" s="5">
        <f ca="1">INDIRECT("'"&amp;B57&amp;"'!"&amp;K1&amp;"4")</f>
        <v>12</v>
      </c>
      <c r="E57" s="5">
        <f t="shared" ca="1" si="7"/>
        <v>-33.333333333333343</v>
      </c>
      <c r="F57" s="5">
        <f t="shared" ca="1" si="8"/>
        <v>1.6</v>
      </c>
      <c r="G57" s="5">
        <f ca="1">INDIRECT("'"&amp;B57&amp;"'!"&amp;K1&amp;"37")</f>
        <v>5</v>
      </c>
      <c r="H57" s="5">
        <f t="shared" ca="1" si="9"/>
        <v>0.41666666666666669</v>
      </c>
      <c r="I57" s="5">
        <f ca="1">INDIRECT("'"&amp;B57&amp;"'!"&amp;K1&amp;"39")</f>
        <v>0</v>
      </c>
      <c r="J57" s="198">
        <f t="shared" ca="1" si="10"/>
        <v>0</v>
      </c>
      <c r="K57" s="5">
        <f ca="1">RANK(J57,J6:J64,0)</f>
        <v>31</v>
      </c>
      <c r="L57" s="5">
        <f ca="1">INDIRECT("'"&amp;B57&amp;"'!"&amp;K1&amp;"41")</f>
        <v>3</v>
      </c>
      <c r="M57" s="198">
        <f t="shared" ca="1" si="11"/>
        <v>60</v>
      </c>
      <c r="N57" s="5">
        <f ca="1">RANK(M57,M6:M64,0)</f>
        <v>7</v>
      </c>
      <c r="O57" s="12">
        <f ca="1">INDIRECT("'"&amp;B57&amp;"'!"&amp;K1&amp;"43")</f>
        <v>4</v>
      </c>
      <c r="P57" s="199">
        <f t="shared" ca="1" si="12"/>
        <v>80</v>
      </c>
      <c r="Q57" s="5">
        <f ca="1">RANK(P57,P6:P64,0)</f>
        <v>10</v>
      </c>
      <c r="R57" s="12">
        <f ca="1">INDIRECT("'"&amp;B57&amp;"'!"&amp;K1&amp;"49")</f>
        <v>4</v>
      </c>
      <c r="S57" s="199">
        <f t="shared" ca="1" si="13"/>
        <v>80</v>
      </c>
      <c r="T57" s="5">
        <f ca="1">RANK(S57,S6:S64,0)</f>
        <v>8</v>
      </c>
      <c r="U57" s="12">
        <f ca="1">INDIRECT("'"&amp;B57&amp;"'!"&amp;K1&amp;"51")</f>
        <v>4</v>
      </c>
      <c r="V57" s="199">
        <f t="shared" ca="1" si="14"/>
        <v>50</v>
      </c>
      <c r="W57" s="5">
        <f ca="1">RANK(V57,V6:V64,0)</f>
        <v>1</v>
      </c>
      <c r="X57" s="12">
        <f ca="1">INDIRECT("'"&amp;B57&amp;"'!"&amp;K1&amp;"53")</f>
        <v>3</v>
      </c>
      <c r="Y57" s="199">
        <f t="shared" ca="1" si="15"/>
        <v>37.5</v>
      </c>
      <c r="Z57" s="5">
        <f ca="1">RANK(Y57,Y6:Y64,0)</f>
        <v>1</v>
      </c>
      <c r="AA57" s="12">
        <f ca="1">INDIRECT("'"&amp;B57&amp;"'!"&amp;K1&amp;"55")</f>
        <v>0</v>
      </c>
      <c r="AB57" s="199">
        <f t="shared" ca="1" si="16"/>
        <v>0</v>
      </c>
      <c r="AC57" s="5">
        <f ca="1">RANK(AB57,AB6:AB64,0)</f>
        <v>8</v>
      </c>
    </row>
    <row r="58" spans="1:29">
      <c r="A58" s="4" t="s">
        <v>109</v>
      </c>
      <c r="B58" s="204">
        <v>239</v>
      </c>
      <c r="C58" s="5">
        <f ca="1">INDIRECT("'"&amp;B58&amp;"'!"&amp;K1&amp;"5")</f>
        <v>22</v>
      </c>
      <c r="D58" s="5">
        <f ca="1">INDIRECT("'"&amp;B58&amp;"'!"&amp;K1&amp;"4")</f>
        <v>11</v>
      </c>
      <c r="E58" s="5">
        <f t="shared" ca="1" si="7"/>
        <v>100</v>
      </c>
      <c r="F58" s="5">
        <f t="shared" ca="1" si="8"/>
        <v>4.4000000000000004</v>
      </c>
      <c r="G58" s="5">
        <f ca="1">INDIRECT("'"&amp;B58&amp;"'!"&amp;K1&amp;"37")</f>
        <v>14</v>
      </c>
      <c r="H58" s="5">
        <f t="shared" ca="1" si="9"/>
        <v>1.1666666666666667</v>
      </c>
      <c r="I58" s="5">
        <f ca="1">INDIRECT("'"&amp;B58&amp;"'!"&amp;K1&amp;"39")</f>
        <v>2</v>
      </c>
      <c r="J58" s="198">
        <f t="shared" ca="1" si="10"/>
        <v>14.285714285714285</v>
      </c>
      <c r="K58" s="5">
        <f ca="1">RANK(J58,J6:J64,0)</f>
        <v>5</v>
      </c>
      <c r="L58" s="5">
        <f ca="1">INDIRECT("'"&amp;B58&amp;"'!"&amp;K1&amp;"41")</f>
        <v>7</v>
      </c>
      <c r="M58" s="198">
        <f t="shared" ca="1" si="11"/>
        <v>50</v>
      </c>
      <c r="N58" s="5">
        <f ca="1">RANK(M58,M6:M64,0)</f>
        <v>16</v>
      </c>
      <c r="O58" s="12">
        <f ca="1">INDIRECT("'"&amp;B58&amp;"'!"&amp;K1&amp;"43")</f>
        <v>5</v>
      </c>
      <c r="P58" s="199">
        <f t="shared" ca="1" si="12"/>
        <v>35.714285714285715</v>
      </c>
      <c r="Q58" s="5">
        <f ca="1">RANK(P58,P6:P64,0)</f>
        <v>57</v>
      </c>
      <c r="R58" s="12">
        <f ca="1">INDIRECT("'"&amp;B58&amp;"'!"&amp;K1&amp;"49")</f>
        <v>5</v>
      </c>
      <c r="S58" s="199">
        <f t="shared" ca="1" si="13"/>
        <v>35.714285714285715</v>
      </c>
      <c r="T58" s="5">
        <f ca="1">RANK(S58,S6:S64,0)</f>
        <v>54</v>
      </c>
      <c r="U58" s="12">
        <f ca="1">INDIRECT("'"&amp;B58&amp;"'!"&amp;K1&amp;"51")</f>
        <v>7</v>
      </c>
      <c r="V58" s="199">
        <f t="shared" ca="1" si="14"/>
        <v>31.818181818181817</v>
      </c>
      <c r="W58" s="5">
        <f ca="1">RANK(V58,V6:V64,0)</f>
        <v>17</v>
      </c>
      <c r="X58" s="12">
        <f ca="1">INDIRECT("'"&amp;B58&amp;"'!"&amp;K1&amp;"53")</f>
        <v>4</v>
      </c>
      <c r="Y58" s="199">
        <f t="shared" ca="1" si="15"/>
        <v>18.181818181818183</v>
      </c>
      <c r="Z58" s="5">
        <f ca="1">RANK(Y58,Y6:Y64,0)</f>
        <v>22</v>
      </c>
      <c r="AA58" s="12">
        <f ca="1">INDIRECT("'"&amp;B58&amp;"'!"&amp;K1&amp;"55")</f>
        <v>0</v>
      </c>
      <c r="AB58" s="199">
        <f t="shared" ca="1" si="16"/>
        <v>0</v>
      </c>
      <c r="AC58" s="5">
        <f ca="1">RANK(AB58,AB6:AB64,0)</f>
        <v>8</v>
      </c>
    </row>
    <row r="59" spans="1:29">
      <c r="A59" s="4" t="s">
        <v>110</v>
      </c>
      <c r="B59" s="204">
        <v>240</v>
      </c>
      <c r="C59" s="5">
        <f ca="1">INDIRECT("'"&amp;B59&amp;"'!"&amp;K1&amp;"5")</f>
        <v>16</v>
      </c>
      <c r="D59" s="5">
        <f ca="1">INDIRECT("'"&amp;B59&amp;"'!"&amp;K1&amp;"4")</f>
        <v>9</v>
      </c>
      <c r="E59" s="5">
        <f t="shared" ca="1" si="7"/>
        <v>77.777777777777771</v>
      </c>
      <c r="F59" s="5">
        <f t="shared" ca="1" si="8"/>
        <v>3.2</v>
      </c>
      <c r="G59" s="5">
        <f ca="1">INDIRECT("'"&amp;B59&amp;"'!"&amp;K1&amp;"37")</f>
        <v>3</v>
      </c>
      <c r="H59" s="5">
        <f t="shared" ca="1" si="9"/>
        <v>0.25</v>
      </c>
      <c r="I59" s="5">
        <f ca="1">INDIRECT("'"&amp;B59&amp;"'!"&amp;K1&amp;"39")</f>
        <v>0</v>
      </c>
      <c r="J59" s="198">
        <f t="shared" ca="1" si="10"/>
        <v>0</v>
      </c>
      <c r="K59" s="5">
        <f ca="1">RANK(J59,J6:J64,0)</f>
        <v>31</v>
      </c>
      <c r="L59" s="5">
        <f ca="1">INDIRECT("'"&amp;B59&amp;"'!"&amp;K1&amp;"41")</f>
        <v>2</v>
      </c>
      <c r="M59" s="198">
        <f t="shared" ca="1" si="11"/>
        <v>66.666666666666657</v>
      </c>
      <c r="N59" s="5">
        <f ca="1">RANK(M59,M6:M64,0)</f>
        <v>3</v>
      </c>
      <c r="O59" s="12">
        <f ca="1">INDIRECT("'"&amp;B59&amp;"'!"&amp;K1&amp;"43")</f>
        <v>3</v>
      </c>
      <c r="P59" s="199">
        <f t="shared" ca="1" si="12"/>
        <v>100</v>
      </c>
      <c r="Q59" s="5">
        <f ca="1">RANK(P59,P6:P64,0)</f>
        <v>1</v>
      </c>
      <c r="R59" s="12">
        <f ca="1">INDIRECT("'"&amp;B59&amp;"'!"&amp;K1&amp;"49")</f>
        <v>1</v>
      </c>
      <c r="S59" s="199">
        <f t="shared" ca="1" si="13"/>
        <v>33.333333333333329</v>
      </c>
      <c r="T59" s="5">
        <f ca="1">RANK(S59,S6:S64,0)</f>
        <v>56</v>
      </c>
      <c r="U59" s="12">
        <f ca="1">INDIRECT("'"&amp;B59&amp;"'!"&amp;K1&amp;"51")</f>
        <v>4</v>
      </c>
      <c r="V59" s="199">
        <f t="shared" ca="1" si="14"/>
        <v>25</v>
      </c>
      <c r="W59" s="5">
        <f ca="1">RANK(V59,V6:V64,0)</f>
        <v>28</v>
      </c>
      <c r="X59" s="12">
        <f ca="1">INDIRECT("'"&amp;B59&amp;"'!"&amp;K1&amp;"53")</f>
        <v>3</v>
      </c>
      <c r="Y59" s="199">
        <f t="shared" ca="1" si="15"/>
        <v>18.75</v>
      </c>
      <c r="Z59" s="5">
        <f ca="1">RANK(Y59,Y6:Y64,0)</f>
        <v>19</v>
      </c>
      <c r="AA59" s="12">
        <f ca="1">INDIRECT("'"&amp;B59&amp;"'!"&amp;K1&amp;"55")</f>
        <v>0</v>
      </c>
      <c r="AB59" s="199">
        <f t="shared" ca="1" si="16"/>
        <v>0</v>
      </c>
      <c r="AC59" s="5">
        <f ca="1">RANK(AB59,AB6:AB64,0)</f>
        <v>8</v>
      </c>
    </row>
    <row r="60" spans="1:29">
      <c r="A60" s="4" t="s">
        <v>111</v>
      </c>
      <c r="B60" s="204">
        <v>241</v>
      </c>
      <c r="C60" s="5">
        <f ca="1">INDIRECT("'"&amp;B60&amp;"'!"&amp;K1&amp;"5")</f>
        <v>45</v>
      </c>
      <c r="D60" s="5">
        <f ca="1">INDIRECT("'"&amp;B60&amp;"'!"&amp;K1&amp;"4")</f>
        <v>48</v>
      </c>
      <c r="E60" s="5">
        <f t="shared" ca="1" si="7"/>
        <v>-6.25</v>
      </c>
      <c r="F60" s="5">
        <f t="shared" ca="1" si="8"/>
        <v>9</v>
      </c>
      <c r="G60" s="5">
        <f ca="1">INDIRECT("'"&amp;B60&amp;"'!"&amp;K1&amp;"37")</f>
        <v>29</v>
      </c>
      <c r="H60" s="5">
        <f t="shared" ca="1" si="9"/>
        <v>2.4166666666666665</v>
      </c>
      <c r="I60" s="5">
        <f ca="1">INDIRECT("'"&amp;B60&amp;"'!"&amp;K1&amp;"39")</f>
        <v>0</v>
      </c>
      <c r="J60" s="198">
        <f t="shared" ca="1" si="10"/>
        <v>0</v>
      </c>
      <c r="K60" s="5">
        <f ca="1">RANK(J60,J6:J64,0)</f>
        <v>31</v>
      </c>
      <c r="L60" s="5">
        <f ca="1">INDIRECT("'"&amp;B60&amp;"'!"&amp;K1&amp;"41")</f>
        <v>16</v>
      </c>
      <c r="M60" s="198">
        <f t="shared" ca="1" si="11"/>
        <v>55.172413793103445</v>
      </c>
      <c r="N60" s="5">
        <f ca="1">RANK(M60,M6:M64,0)</f>
        <v>11</v>
      </c>
      <c r="O60" s="12">
        <f ca="1">INDIRECT("'"&amp;B60&amp;"'!"&amp;K1&amp;"43")</f>
        <v>23</v>
      </c>
      <c r="P60" s="199">
        <f t="shared" ca="1" si="12"/>
        <v>79.310344827586206</v>
      </c>
      <c r="Q60" s="5">
        <f ca="1">RANK(P60,P6:P64,0)</f>
        <v>12</v>
      </c>
      <c r="R60" s="12">
        <f ca="1">INDIRECT("'"&amp;B60&amp;"'!"&amp;K1&amp;"49")</f>
        <v>24</v>
      </c>
      <c r="S60" s="199">
        <f t="shared" ca="1" si="13"/>
        <v>82.758620689655174</v>
      </c>
      <c r="T60" s="5">
        <f ca="1">RANK(S60,S6:S64,0)</f>
        <v>6</v>
      </c>
      <c r="U60" s="12">
        <f ca="1">INDIRECT("'"&amp;B60&amp;"'!"&amp;K1&amp;"51")</f>
        <v>14</v>
      </c>
      <c r="V60" s="199">
        <f t="shared" ca="1" si="14"/>
        <v>31.111111111111111</v>
      </c>
      <c r="W60" s="5">
        <f ca="1">RANK(V60,V6:V64,0)</f>
        <v>18</v>
      </c>
      <c r="X60" s="12">
        <f ca="1">INDIRECT("'"&amp;B60&amp;"'!"&amp;K1&amp;"53")</f>
        <v>7</v>
      </c>
      <c r="Y60" s="199">
        <f t="shared" ca="1" si="15"/>
        <v>15.555555555555555</v>
      </c>
      <c r="Z60" s="5">
        <f ca="1">RANK(Y60,Y6:Y64,0)</f>
        <v>30</v>
      </c>
      <c r="AA60" s="12">
        <f ca="1">INDIRECT("'"&amp;B60&amp;"'!"&amp;K1&amp;"55")</f>
        <v>1</v>
      </c>
      <c r="AB60" s="199">
        <f t="shared" ca="1" si="16"/>
        <v>2.2222222222222223</v>
      </c>
      <c r="AC60" s="5">
        <f ca="1">RANK(AB60,AB6:AB64,0)</f>
        <v>5</v>
      </c>
    </row>
    <row r="61" spans="1:29">
      <c r="A61" s="4" t="s">
        <v>112</v>
      </c>
      <c r="B61" s="204">
        <v>242</v>
      </c>
      <c r="C61" s="5">
        <f ca="1">INDIRECT("'"&amp;B61&amp;"'!"&amp;K1&amp;"5")</f>
        <v>20</v>
      </c>
      <c r="D61" s="5">
        <f ca="1">INDIRECT("'"&amp;B61&amp;"'!"&amp;K1&amp;"4")</f>
        <v>24</v>
      </c>
      <c r="E61" s="5">
        <f t="shared" ca="1" si="7"/>
        <v>-16.666666666666657</v>
      </c>
      <c r="F61" s="5">
        <f t="shared" ca="1" si="8"/>
        <v>4</v>
      </c>
      <c r="G61" s="5">
        <f ca="1">INDIRECT("'"&amp;B61&amp;"'!"&amp;K1&amp;"37")</f>
        <v>17</v>
      </c>
      <c r="H61" s="5">
        <f t="shared" ca="1" si="9"/>
        <v>1.4166666666666667</v>
      </c>
      <c r="I61" s="5">
        <f ca="1">INDIRECT("'"&amp;B61&amp;"'!"&amp;K1&amp;"39")</f>
        <v>0</v>
      </c>
      <c r="J61" s="198">
        <f t="shared" ca="1" si="10"/>
        <v>0</v>
      </c>
      <c r="K61" s="5">
        <f ca="1">RANK(J61,J6:J64,0)</f>
        <v>31</v>
      </c>
      <c r="L61" s="5">
        <f ca="1">INDIRECT("'"&amp;B61&amp;"'!"&amp;K1&amp;"41")</f>
        <v>5</v>
      </c>
      <c r="M61" s="198">
        <f t="shared" ca="1" si="11"/>
        <v>29.411764705882355</v>
      </c>
      <c r="N61" s="5">
        <f ca="1">RANK(M61,M6:M64,0)</f>
        <v>43</v>
      </c>
      <c r="O61" s="12">
        <f ca="1">INDIRECT("'"&amp;B61&amp;"'!"&amp;K1&amp;"43")</f>
        <v>11</v>
      </c>
      <c r="P61" s="199">
        <f t="shared" ca="1" si="12"/>
        <v>64.705882352941174</v>
      </c>
      <c r="Q61" s="5">
        <f ca="1">RANK(P61,P6:P64,0)</f>
        <v>26</v>
      </c>
      <c r="R61" s="12">
        <f ca="1">INDIRECT("'"&amp;B61&amp;"'!"&amp;K1&amp;"49")</f>
        <v>9</v>
      </c>
      <c r="S61" s="199">
        <f t="shared" ca="1" si="13"/>
        <v>52.941176470588239</v>
      </c>
      <c r="T61" s="5">
        <f ca="1">RANK(S61,S6:S64,0)</f>
        <v>35</v>
      </c>
      <c r="U61" s="12">
        <f ca="1">INDIRECT("'"&amp;B61&amp;"'!"&amp;K1&amp;"51")</f>
        <v>3</v>
      </c>
      <c r="V61" s="199">
        <f t="shared" ca="1" si="14"/>
        <v>15</v>
      </c>
      <c r="W61" s="5">
        <f ca="1">RANK(V61,V6:V64,0)</f>
        <v>46</v>
      </c>
      <c r="X61" s="12">
        <f ca="1">INDIRECT("'"&amp;B61&amp;"'!"&amp;K1&amp;"53")</f>
        <v>1</v>
      </c>
      <c r="Y61" s="199">
        <f t="shared" ca="1" si="15"/>
        <v>5</v>
      </c>
      <c r="Z61" s="5">
        <f ca="1">RANK(Y61,Y6:Y64,0)</f>
        <v>55</v>
      </c>
      <c r="AA61" s="12">
        <f ca="1">INDIRECT("'"&amp;B61&amp;"'!"&amp;K1&amp;"55")</f>
        <v>0</v>
      </c>
      <c r="AB61" s="199">
        <f t="shared" ca="1" si="16"/>
        <v>0</v>
      </c>
      <c r="AC61" s="5">
        <f ca="1">RANK(AB61,AB6:AB64,0)</f>
        <v>8</v>
      </c>
    </row>
    <row r="62" spans="1:29">
      <c r="A62" s="4" t="s">
        <v>113</v>
      </c>
      <c r="B62" s="204">
        <v>243</v>
      </c>
      <c r="C62" s="5">
        <f ca="1">INDIRECT("'"&amp;B62&amp;"'!"&amp;K1&amp;"5")</f>
        <v>65</v>
      </c>
      <c r="D62" s="5">
        <f ca="1">INDIRECT("'"&amp;B62&amp;"'!"&amp;K1&amp;"4")</f>
        <v>69</v>
      </c>
      <c r="E62" s="5">
        <f t="shared" ca="1" si="7"/>
        <v>-5.7971014492753596</v>
      </c>
      <c r="F62" s="5">
        <f t="shared" ca="1" si="8"/>
        <v>13</v>
      </c>
      <c r="G62" s="5">
        <f ca="1">INDIRECT("'"&amp;B62&amp;"'!"&amp;K1&amp;"37")</f>
        <v>36</v>
      </c>
      <c r="H62" s="5">
        <f t="shared" ca="1" si="9"/>
        <v>3</v>
      </c>
      <c r="I62" s="5">
        <f ca="1">INDIRECT("'"&amp;B62&amp;"'!"&amp;K1&amp;"39")</f>
        <v>6</v>
      </c>
      <c r="J62" s="198">
        <f t="shared" ca="1" si="10"/>
        <v>16.666666666666664</v>
      </c>
      <c r="K62" s="5">
        <f ca="1">RANK(J62,J6:J64,0)</f>
        <v>4</v>
      </c>
      <c r="L62" s="5">
        <f ca="1">INDIRECT("'"&amp;B62&amp;"'!"&amp;K1&amp;"41")</f>
        <v>11</v>
      </c>
      <c r="M62" s="198">
        <f t="shared" ca="1" si="11"/>
        <v>30.555555555555557</v>
      </c>
      <c r="N62" s="5">
        <f ca="1">RANK(M62,M6:M64,0)</f>
        <v>41</v>
      </c>
      <c r="O62" s="12">
        <f ca="1">INDIRECT("'"&amp;B62&amp;"'!"&amp;K1&amp;"43")</f>
        <v>29</v>
      </c>
      <c r="P62" s="199">
        <f t="shared" ca="1" si="12"/>
        <v>80.555555555555557</v>
      </c>
      <c r="Q62" s="5">
        <f ca="1">RANK(P62,P6:P64,0)</f>
        <v>9</v>
      </c>
      <c r="R62" s="12">
        <f ca="1">INDIRECT("'"&amp;B62&amp;"'!"&amp;K1&amp;"49")</f>
        <v>21</v>
      </c>
      <c r="S62" s="199">
        <f t="shared" ca="1" si="13"/>
        <v>58.333333333333336</v>
      </c>
      <c r="T62" s="5">
        <f ca="1">RANK(S62,S6:S64,0)</f>
        <v>29</v>
      </c>
      <c r="U62" s="12">
        <f ca="1">INDIRECT("'"&amp;B62&amp;"'!"&amp;K1&amp;"51")</f>
        <v>12</v>
      </c>
      <c r="V62" s="199">
        <f t="shared" ca="1" si="14"/>
        <v>18.461538461538463</v>
      </c>
      <c r="W62" s="5">
        <f ca="1">RANK(V62,V6:V64,0)</f>
        <v>39</v>
      </c>
      <c r="X62" s="12">
        <f ca="1">INDIRECT("'"&amp;B62&amp;"'!"&amp;K1&amp;"53")</f>
        <v>9</v>
      </c>
      <c r="Y62" s="199">
        <f t="shared" ca="1" si="15"/>
        <v>13.846153846153847</v>
      </c>
      <c r="Z62" s="5">
        <f ca="1">RANK(Y62,Y6:Y64,0)</f>
        <v>36</v>
      </c>
      <c r="AA62" s="12">
        <f ca="1">INDIRECT("'"&amp;B62&amp;"'!"&amp;K1&amp;"55")</f>
        <v>0</v>
      </c>
      <c r="AB62" s="199">
        <f t="shared" ca="1" si="16"/>
        <v>0</v>
      </c>
      <c r="AC62" s="5">
        <f ca="1">RANK(AB62,AB6:AB64,0)</f>
        <v>8</v>
      </c>
    </row>
    <row r="63" spans="1:29">
      <c r="A63" s="4" t="s">
        <v>114</v>
      </c>
      <c r="B63" s="204">
        <v>244</v>
      </c>
      <c r="C63" s="5">
        <f ca="1">INDIRECT("'"&amp;B63&amp;"'!"&amp;K1&amp;"5")</f>
        <v>34</v>
      </c>
      <c r="D63" s="5">
        <f ca="1">INDIRECT("'"&amp;B63&amp;"'!"&amp;K1&amp;"4")</f>
        <v>32</v>
      </c>
      <c r="E63" s="5">
        <f t="shared" ca="1" si="7"/>
        <v>6.25</v>
      </c>
      <c r="F63" s="5">
        <f t="shared" ca="1" si="8"/>
        <v>6.8</v>
      </c>
      <c r="G63" s="5">
        <f ca="1">INDIRECT("'"&amp;B63&amp;"'!"&amp;K1&amp;"37")</f>
        <v>21</v>
      </c>
      <c r="H63" s="5">
        <f t="shared" ca="1" si="9"/>
        <v>1.75</v>
      </c>
      <c r="I63" s="5">
        <f ca="1">INDIRECT("'"&amp;B63&amp;"'!"&amp;K1&amp;"39")</f>
        <v>0</v>
      </c>
      <c r="J63" s="198">
        <f t="shared" ca="1" si="10"/>
        <v>0</v>
      </c>
      <c r="K63" s="5">
        <f ca="1">RANK(J63,J6:J64,0)</f>
        <v>31</v>
      </c>
      <c r="L63" s="5">
        <f ca="1">INDIRECT("'"&amp;B63&amp;"'!"&amp;K1&amp;"41")</f>
        <v>8</v>
      </c>
      <c r="M63" s="198">
        <f t="shared" ca="1" si="11"/>
        <v>38.095238095238095</v>
      </c>
      <c r="N63" s="5">
        <f ca="1">RANK(M63,M6:M64,0)</f>
        <v>30</v>
      </c>
      <c r="O63" s="12">
        <f ca="1">INDIRECT("'"&amp;B63&amp;"'!"&amp;K1&amp;"43")</f>
        <v>13</v>
      </c>
      <c r="P63" s="199">
        <f t="shared" ca="1" si="12"/>
        <v>61.904761904761905</v>
      </c>
      <c r="Q63" s="5">
        <f ca="1">RANK(P63,P6:P64,0)</f>
        <v>31</v>
      </c>
      <c r="R63" s="12">
        <f ca="1">INDIRECT("'"&amp;B63&amp;"'!"&amp;K1&amp;"49")</f>
        <v>15</v>
      </c>
      <c r="S63" s="199">
        <f t="shared" ca="1" si="13"/>
        <v>71.428571428571431</v>
      </c>
      <c r="T63" s="5">
        <f ca="1">RANK(S63,S6:S64,0)</f>
        <v>15</v>
      </c>
      <c r="U63" s="12">
        <f ca="1">INDIRECT("'"&amp;B63&amp;"'!"&amp;K1&amp;"51")</f>
        <v>5</v>
      </c>
      <c r="V63" s="199">
        <f t="shared" ca="1" si="14"/>
        <v>14.705882352941178</v>
      </c>
      <c r="W63" s="5">
        <f ca="1">RANK(V63,V6:V64,0)</f>
        <v>48</v>
      </c>
      <c r="X63" s="12">
        <f ca="1">INDIRECT("'"&amp;B63&amp;"'!"&amp;K1&amp;"53")</f>
        <v>2</v>
      </c>
      <c r="Y63" s="199">
        <f t="shared" ca="1" si="15"/>
        <v>5.8823529411764701</v>
      </c>
      <c r="Z63" s="5">
        <f ca="1">RANK(Y63,Y6:Y64,0)</f>
        <v>53</v>
      </c>
      <c r="AA63" s="12">
        <f ca="1">INDIRECT("'"&amp;B63&amp;"'!"&amp;K1&amp;"55")</f>
        <v>0</v>
      </c>
      <c r="AB63" s="199">
        <f t="shared" ca="1" si="16"/>
        <v>0</v>
      </c>
      <c r="AC63" s="5">
        <f ca="1">RANK(AB63,AB6:AB64,0)</f>
        <v>8</v>
      </c>
    </row>
    <row r="64" spans="1:29">
      <c r="A64" s="4" t="s">
        <v>115</v>
      </c>
      <c r="B64" s="204">
        <v>401</v>
      </c>
      <c r="C64" s="5">
        <f ca="1">INDIRECT("'"&amp;B64&amp;"'!"&amp;K1&amp;"5")</f>
        <v>11</v>
      </c>
      <c r="D64" s="5">
        <f ca="1">INDIRECT("'"&amp;B64&amp;"'!"&amp;K1&amp;"4")</f>
        <v>21</v>
      </c>
      <c r="E64" s="5">
        <f t="shared" ca="1" si="7"/>
        <v>-47.619047619047613</v>
      </c>
      <c r="F64" s="5">
        <f t="shared" ca="1" si="8"/>
        <v>2.2000000000000002</v>
      </c>
      <c r="G64" s="5">
        <f ca="1">INDIRECT("'"&amp;B64&amp;"'!"&amp;K1&amp;"37")</f>
        <v>10</v>
      </c>
      <c r="H64" s="5">
        <f t="shared" ca="1" si="9"/>
        <v>0.83333333333333337</v>
      </c>
      <c r="I64" s="5">
        <f ca="1">INDIRECT("'"&amp;B64&amp;"'!"&amp;K1&amp;"39")</f>
        <v>0</v>
      </c>
      <c r="J64" s="198">
        <f t="shared" ca="1" si="10"/>
        <v>0</v>
      </c>
      <c r="K64" s="5">
        <f ca="1">RANK(J64,J6:J64,0)</f>
        <v>31</v>
      </c>
      <c r="L64" s="5">
        <f ca="1">INDIRECT("'"&amp;B64&amp;"'!"&amp;K1&amp;"41")</f>
        <v>2</v>
      </c>
      <c r="M64" s="198">
        <f t="shared" ca="1" si="11"/>
        <v>20</v>
      </c>
      <c r="N64" s="5">
        <f ca="1">RANK(M64,M6:M64,0)</f>
        <v>56</v>
      </c>
      <c r="O64" s="12">
        <f ca="1">INDIRECT("'"&amp;B64&amp;"'!"&amp;K1&amp;"43")</f>
        <v>4</v>
      </c>
      <c r="P64" s="199">
        <f t="shared" ca="1" si="12"/>
        <v>40</v>
      </c>
      <c r="Q64" s="5">
        <f ca="1">RANK(P64,P6:P64,0)</f>
        <v>54</v>
      </c>
      <c r="R64" s="12">
        <f ca="1">INDIRECT("'"&amp;B64&amp;"'!"&amp;K1&amp;"49")</f>
        <v>5</v>
      </c>
      <c r="S64" s="199">
        <f t="shared" ca="1" si="13"/>
        <v>50</v>
      </c>
      <c r="T64" s="5">
        <f ca="1">RANK(S64,S6:S64,0)</f>
        <v>39</v>
      </c>
      <c r="U64" s="12">
        <f ca="1">INDIRECT("'"&amp;B64&amp;"'!"&amp;K1&amp;"51")</f>
        <v>5</v>
      </c>
      <c r="V64" s="199">
        <f t="shared" ca="1" si="14"/>
        <v>45.454545454545453</v>
      </c>
      <c r="W64" s="5">
        <f ca="1">RANK(V64,V6:V64,0)</f>
        <v>3</v>
      </c>
      <c r="X64" s="12">
        <f ca="1">INDIRECT("'"&amp;B64&amp;"'!"&amp;K1&amp;"53")</f>
        <v>3</v>
      </c>
      <c r="Y64" s="199">
        <f t="shared" ca="1" si="15"/>
        <v>27.27272727272727</v>
      </c>
      <c r="Z64" s="5">
        <f ca="1">RANK(Y64,Y6:Y64,0)</f>
        <v>5</v>
      </c>
      <c r="AA64" s="12">
        <f ca="1">INDIRECT("'"&amp;B64&amp;"'!"&amp;K1&amp;"55")</f>
        <v>0</v>
      </c>
      <c r="AB64" s="199">
        <f t="shared" ca="1" si="16"/>
        <v>0</v>
      </c>
      <c r="AC64" s="5">
        <f ca="1">RANK(AB64,AB6:AB64,0)</f>
        <v>8</v>
      </c>
    </row>
  </sheetData>
  <conditionalFormatting sqref="K6:K64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N64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Q6:Q6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T6:T64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6:W64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Z6:Z64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C6:AC64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6:F64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6:H64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6:E64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I1">
      <formula1>Справочник!E1:E12</formula1>
    </dataValidation>
  </dataValidations>
  <pageMargins left="0.23622047244094491" right="0.15748031496062992" top="0.23622047244094491" bottom="0.31496062992125984" header="0.31496062992125984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79</v>
      </c>
      <c r="D1" s="2">
        <v>108</v>
      </c>
    </row>
    <row r="2" spans="1:15">
      <c r="D2" s="2">
        <f>D1+1</f>
        <v>109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81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73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18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3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3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7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4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40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18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15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27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7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36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14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11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8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8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40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0.45977011494252873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0.59493670886075944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8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0.83333333333333337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38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0.36666666666666664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25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0.46808510638297873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5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0.2857142857142857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23</v>
      </c>
      <c r="D1" s="2">
        <v>126</v>
      </c>
    </row>
    <row r="2" spans="1:15">
      <c r="D2" s="2">
        <f>D1+1</f>
        <v>127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7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0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0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5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0.8571428571428571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1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80</v>
      </c>
      <c r="D1" s="2">
        <v>168</v>
      </c>
    </row>
    <row r="2" spans="1:15">
      <c r="D2" s="2">
        <f>D1+1</f>
        <v>169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6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14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7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13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7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14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0.82352941176470584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0.77777777777777779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6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81</v>
      </c>
      <c r="D1" s="2">
        <v>117</v>
      </c>
    </row>
    <row r="2" spans="1:15">
      <c r="D2" s="2">
        <f>D1+1</f>
        <v>118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31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37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8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3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7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3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2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19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11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5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14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10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9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19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0.90476190476190477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0.77272727272727271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0.7142857142857143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5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0.83333333333333337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82</v>
      </c>
      <c r="D1" s="2">
        <v>153</v>
      </c>
    </row>
    <row r="2" spans="1:15">
      <c r="D2" s="2">
        <f>D1+1</f>
        <v>154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58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44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11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9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21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10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2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6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28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26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16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13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11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14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7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8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7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5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3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28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0.73684210526315785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26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0.72222222222222221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5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0.625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0.66666666666666663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7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7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24</v>
      </c>
      <c r="D1" s="2">
        <v>204</v>
      </c>
      <c r="K1" s="2">
        <v>204</v>
      </c>
    </row>
    <row r="2" spans="1:15">
      <c r="D2" s="2">
        <f>D1+1</f>
        <v>205</v>
      </c>
      <c r="K2" s="2">
        <v>205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15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15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14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9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6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7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6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3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14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0.93333333333333335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0.75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1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83</v>
      </c>
      <c r="D1" s="2">
        <v>129</v>
      </c>
    </row>
    <row r="2" spans="1:15">
      <c r="D2" s="2">
        <f>D1+1</f>
        <v>130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8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14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7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14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0.93333333333333335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0.875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2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1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84</v>
      </c>
      <c r="D1" s="2">
        <v>213</v>
      </c>
      <c r="K1" s="2">
        <v>213</v>
      </c>
    </row>
    <row r="2" spans="1:15">
      <c r="D2" s="2">
        <f>D1+1</f>
        <v>214</v>
      </c>
      <c r="K2" s="2">
        <v>214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INDIRECT("'"&amp;J3&amp;"'!G"&amp;K1&amp;"")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INDIRECT("'"&amp;J3&amp;"'!G"&amp;K2&amp;"")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INDIRECT("'"&amp;J3&amp;"'!O"&amp;K1&amp;"")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INDIRECT("'"&amp;J3&amp;"'!o"&amp;K2&amp;"")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INDIRECT("'"&amp;J3&amp;"'!bp"&amp;K1&amp;"")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INDIRECT("'"&amp;J3&amp;"'!bp"&amp;K2&amp;"")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INDIRECT("'"&amp;J3&amp;"'!bx"&amp;K1&amp;"")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INDIRECT("'"&amp;J3&amp;"'!bx"&amp;K2&amp;"")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INDIRECT("'"&amp;J3&amp;"'!cb"&amp;K1&amp;"")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INDIRECT("'"&amp;J3&amp;"'!cb"&amp;K2&amp;"")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INDIRECT("'"&amp;J3&amp;"'!bt"&amp;K1&amp;"")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INDIRECT("'"&amp;J3&amp;"'!bt"&amp;K2&amp;"")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INDIRECT("'"&amp;J3&amp;"'!cu"&amp;K1&amp;"")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INDIRECT("'"&amp;J3&amp;"'!cu"&amp;K2&amp;"")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INDIRECT("'"&amp;J3&amp;"'!cy"&amp;K1&amp;"")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INDIRECT("'"&amp;J3&amp;"'!cy"&amp;K2&amp;"")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INDIRECT("'"&amp;J3&amp;"'!cj"&amp;K1&amp;"")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INDIRECT("'"&amp;J3&amp;"'!cj"&amp;K2&amp;"")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INDIRECT("'"&amp;J3&amp;"'!cf"&amp;K1&amp;"")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INDIRECT("'"&amp;J3&amp;"'!cf"&amp;K2&amp;"")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INDIRECT("'"&amp;J3&amp;"'!cn"&amp;K1&amp;"")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INDIRECT("'"&amp;J3&amp;"'!cn"&amp;K2&amp;"")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INDIRECT("'"&amp;J3&amp;"'!dc"&amp;K1&amp;"")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INDIRECT("'"&amp;J3&amp;"'!dc"&amp;K2&amp;"")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INDIRECT("'"&amp;J3&amp;"'!av"&amp;K1&amp;"")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INDIRECT("'"&amp;J3&amp;"'!av"&amp;K2&amp;"")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INDIRECT("'"&amp;J3&amp;"'!cq"&amp;K1&amp;"")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INDIRECT("'"&amp;J3&amp;"'!cq"&amp;K2&amp;"")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INDIRECT("'"&amp;J3&amp;"'!eo"&amp;K1&amp;"")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INDIRECT("'"&amp;J3&amp;"'!eo"&amp;K2&amp;"")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INDIRECT("'"&amp;J3&amp;"'!dr"&amp;K1&amp;"")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INDIRECT("'"&amp;J3&amp;"'!dr"&amp;K2&amp;"")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INDIRECT("'"&amp;J3&amp;"'!i"&amp;K1&amp;"")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9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INDIRECT("'"&amp;J3&amp;"'!i"&amp;K2&amp;"")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INDIRECT("'"&amp;J3&amp;"'!ax"&amp;K1&amp;"")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INDIRECT("'"&amp;J3&amp;"'!ax"&amp;K2&amp;"")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0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INDIRECT("'"&amp;J3&amp;"'!bd"&amp;K1&amp;"")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6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INDIRECT("'"&amp;J3&amp;"'!bd"&amp;K2&amp;"")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INDIRECT("'"&amp;J3&amp;"'!bg"&amp;K1&amp;"")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INDIRECT("'"&amp;J3&amp;"'!bg"&amp;K2&amp;"")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INDIRECT("'"&amp;J3&amp;"'!bj"&amp;K1&amp;"")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INDIRECT("'"&amp;J3&amp;"'!bj"&amp;K2&amp;"")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INDIRECT("'"&amp;J3&amp;"'!bo"&amp;K1&amp;"")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INDIRECT("'"&amp;J3&amp;"'!bo"&amp;K2&amp;"")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INDIRECT("'"&amp;J3&amp;"'!ba"&amp;K1&amp;"")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6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INDIRECT("'"&amp;J3&amp;"'!ba"&amp;K2&amp;"")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INDIRECT("'"&amp;J3&amp;"'!an"&amp;K1&amp;"")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INDIRECT("'"&amp;J3&amp;"'!an"&amp;K2&amp;"")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INDIRECT("'"&amp;J3&amp;"'!as"&amp;K1&amp;"")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INDIRECT("'"&amp;J3&amp;"'!as"&amp;K2&amp;"")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INDIRECT("'"&amp;J3&amp;"'!al"&amp;K1&amp;"")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INDIRECT("'"&amp;J3&amp;"'!al"&amp;K2&amp;"")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INDIRECT("'"&amp;J3&amp;"'!q"&amp;K1&amp;"")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INDIRECT("'"&amp;J3&amp;"'!q"&amp;K2&amp;"")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INDIRECT("'"&amp;J3&amp;"'!dx"&amp;K1&amp;"")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INDIRECT("'"&amp;J3&amp;"'!dx"&amp;K2&amp;"")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INDIRECT("'"&amp;J3&amp;"'!i"&amp;K1&amp;"")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INDIRECT("'"&amp;J3&amp;"'!k"&amp;K1&amp;"")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9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INDIRECT("'"&amp;J3&amp;"'!i"&amp;K2&amp;"")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INDIRECT("'"&amp;J3&amp;"'!k"&amp;K2&amp;"")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0.81818181818181823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INDIRECT("'"&amp;J3&amp;"'!q"&amp;K1&amp;"")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INDIRECT("'"&amp;J3&amp;"'!s"&amp;K1&amp;"")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INDIRECT("'"&amp;J3&amp;"'!q"&amp;K2&amp;"")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INDIRECT("'"&amp;J3&amp;"'!s"&amp;K2&amp;"")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INDIRECT("'"&amp;J3&amp;"'!bq"&amp;K1&amp;"")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INDIRECT("'"&amp;J3&amp;"'!br"&amp;K1&amp;"")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INDIRECT("'"&amp;J3&amp;"'!bq"&amp;K2&amp;"")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INDIRECT("'"&amp;J3&amp;"'!br"&amp;K2&amp;"")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INDIRECT("'"&amp;J3&amp;"'!by"&amp;K1&amp;"")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INDIRECT("'"&amp;J3&amp;"'!bz"&amp;K1&amp;"")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INDIRECT("'"&amp;J3&amp;"'!by"&amp;K2&amp;"")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INDIRECT("'"&amp;J3&amp;"'!bz"&amp;K2&amp;"")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INDIRECT("'"&amp;J3&amp;"'!cg"&amp;K1&amp;"")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INDIRECT("'"&amp;J3&amp;"'!ch"&amp;K1&amp;"")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INDIRECT("'"&amp;J3&amp;"'!cg"&amp;K2&amp;"")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INDIRECT("'"&amp;J3&amp;"'!ch"&amp;K2&amp;"")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INDIRECT("'"&amp;J3&amp;"'!ck"&amp;K1&amp;"")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INDIRECT("'"&amp;J3&amp;"'!cl"&amp;K1&amp;"")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INDIRECT("'"&amp;J3&amp;"'!ck"&amp;K2&amp;"")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INDIRECT("'"&amp;J3&amp;"'!cl"&amp;K2&amp;"")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INDIRECT("'"&amp;J3&amp;"'!cv"&amp;K1&amp;"")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INDIRECT("'"&amp;J3&amp;"'!cw"&amp;K1&amp;"")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INDIRECT("'"&amp;J3&amp;"'!cv"&amp;K2&amp;"")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INDIRECT("'"&amp;J3&amp;"'!cw"&amp;K2&amp;"")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INDIRECT("'"&amp;J3&amp;"'!dg"&amp;K1&amp;"")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INDIRECT("'"&amp;J3&amp;"'!dh"&amp;K1&amp;"")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INDIRECT("'"&amp;J3&amp;"'!dg"&amp;K2&amp;"")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INDIRECT("'"&amp;J3&amp;"'!dh"&amp;K2&amp;"")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25</v>
      </c>
      <c r="D1" s="2">
        <v>96</v>
      </c>
    </row>
    <row r="2" spans="1:15">
      <c r="D2" s="2">
        <f>D1+1</f>
        <v>97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35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34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8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8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20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24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21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14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5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16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16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15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17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11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24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0.70588235294117652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21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0.63636363636363635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5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0.375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0.66666666666666663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2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5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0.33333333333333331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4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3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85</v>
      </c>
      <c r="D1" s="2">
        <v>135</v>
      </c>
    </row>
    <row r="2" spans="1:15">
      <c r="D2" s="2">
        <f>D1+1</f>
        <v>136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108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108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21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36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5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2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48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36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2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2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5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3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61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55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29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15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36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33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9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30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13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18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13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61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51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0.5446428571428571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55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45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0.55000000000000004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18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16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0.52941176470588236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13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17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0.43333333333333335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18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0.375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26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0.46938775510204084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0.4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6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0.14285714285714285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65"/>
  <sheetViews>
    <sheetView topLeftCell="A235" workbookViewId="0">
      <selection activeCell="C6" sqref="C6"/>
    </sheetView>
  </sheetViews>
  <sheetFormatPr defaultRowHeight="15"/>
  <cols>
    <col min="1" max="1" width="9.140625" style="5"/>
    <col min="2" max="2" width="4.7109375" style="4" hidden="1" customWidth="1"/>
    <col min="3" max="3" width="22.42578125" style="4" hidden="1" customWidth="1"/>
    <col min="4" max="4" width="13.140625" hidden="1" customWidth="1"/>
    <col min="5" max="5" width="21.42578125" customWidth="1"/>
  </cols>
  <sheetData>
    <row r="1" spans="1:6">
      <c r="A1" s="5">
        <v>6</v>
      </c>
      <c r="B1" s="360" t="s">
        <v>425</v>
      </c>
      <c r="C1" s="360"/>
      <c r="D1" s="1" t="s">
        <v>271</v>
      </c>
      <c r="E1" s="264" t="s">
        <v>271</v>
      </c>
      <c r="F1" s="264" t="s">
        <v>271</v>
      </c>
    </row>
    <row r="2" spans="1:6">
      <c r="A2" s="5">
        <v>7</v>
      </c>
      <c r="B2" s="360"/>
      <c r="C2" s="360"/>
      <c r="D2" s="1" t="s">
        <v>272</v>
      </c>
      <c r="E2" s="264" t="s">
        <v>272</v>
      </c>
      <c r="F2" s="264" t="s">
        <v>272</v>
      </c>
    </row>
    <row r="3" spans="1:6">
      <c r="A3" s="5">
        <v>8</v>
      </c>
      <c r="B3" s="360" t="s">
        <v>1</v>
      </c>
      <c r="C3" s="360"/>
      <c r="D3" s="1" t="s">
        <v>1</v>
      </c>
      <c r="E3" s="264" t="s">
        <v>1</v>
      </c>
      <c r="F3" s="264" t="s">
        <v>1</v>
      </c>
    </row>
    <row r="4" spans="1:6">
      <c r="A4" s="5">
        <v>9</v>
      </c>
      <c r="B4" s="361" t="s">
        <v>231</v>
      </c>
      <c r="C4" s="360" t="s">
        <v>426</v>
      </c>
      <c r="D4" s="1" t="s">
        <v>536</v>
      </c>
      <c r="E4" s="264" t="s">
        <v>536</v>
      </c>
      <c r="F4" s="264" t="s">
        <v>536</v>
      </c>
    </row>
    <row r="5" spans="1:6">
      <c r="A5" s="5">
        <v>10</v>
      </c>
      <c r="B5" s="361"/>
      <c r="C5" s="360"/>
      <c r="D5" s="1" t="s">
        <v>537</v>
      </c>
      <c r="E5" s="264" t="s">
        <v>537</v>
      </c>
      <c r="F5" s="264" t="s">
        <v>537</v>
      </c>
    </row>
    <row r="6" spans="1:6">
      <c r="A6" s="5">
        <v>11</v>
      </c>
      <c r="B6" s="361"/>
      <c r="C6" s="196" t="s">
        <v>1</v>
      </c>
      <c r="D6" s="1" t="s">
        <v>466</v>
      </c>
      <c r="E6" s="264" t="s">
        <v>570</v>
      </c>
      <c r="F6" s="264" t="s">
        <v>570</v>
      </c>
    </row>
    <row r="7" spans="1:6">
      <c r="A7" s="5">
        <v>12</v>
      </c>
      <c r="B7" s="361"/>
      <c r="C7" s="360" t="s">
        <v>427</v>
      </c>
      <c r="D7" s="1" t="s">
        <v>538</v>
      </c>
      <c r="E7" s="264" t="s">
        <v>608</v>
      </c>
      <c r="F7" s="264" t="s">
        <v>608</v>
      </c>
    </row>
    <row r="8" spans="1:6">
      <c r="A8" s="5">
        <v>13</v>
      </c>
      <c r="B8" s="361"/>
      <c r="C8" s="360"/>
      <c r="D8" s="1" t="s">
        <v>539</v>
      </c>
      <c r="E8" s="264" t="s">
        <v>609</v>
      </c>
      <c r="F8" s="264" t="s">
        <v>609</v>
      </c>
    </row>
    <row r="9" spans="1:6">
      <c r="A9" s="5">
        <v>14</v>
      </c>
      <c r="B9" s="360" t="s">
        <v>1</v>
      </c>
      <c r="C9" s="360"/>
      <c r="D9" s="1" t="s">
        <v>1</v>
      </c>
      <c r="E9" s="264" t="s">
        <v>1</v>
      </c>
      <c r="F9" s="264" t="s">
        <v>1</v>
      </c>
    </row>
    <row r="10" spans="1:6">
      <c r="A10" s="5">
        <v>15</v>
      </c>
      <c r="B10" s="360" t="s">
        <v>428</v>
      </c>
      <c r="C10" s="360"/>
      <c r="D10" s="1" t="s">
        <v>271</v>
      </c>
      <c r="E10" s="264" t="s">
        <v>271</v>
      </c>
      <c r="F10" s="264" t="s">
        <v>271</v>
      </c>
    </row>
    <row r="11" spans="1:6">
      <c r="A11" s="5">
        <v>16</v>
      </c>
      <c r="B11" s="360"/>
      <c r="C11" s="360"/>
      <c r="D11" s="1" t="s">
        <v>273</v>
      </c>
      <c r="E11" s="264" t="s">
        <v>273</v>
      </c>
      <c r="F11" s="264" t="s">
        <v>273</v>
      </c>
    </row>
    <row r="12" spans="1:6">
      <c r="A12" s="5">
        <v>17</v>
      </c>
      <c r="B12" s="360" t="s">
        <v>1</v>
      </c>
      <c r="C12" s="360"/>
      <c r="D12" s="1" t="s">
        <v>1</v>
      </c>
      <c r="E12" s="264" t="s">
        <v>1</v>
      </c>
      <c r="F12" s="264" t="s">
        <v>1</v>
      </c>
    </row>
    <row r="13" spans="1:6">
      <c r="A13" s="5">
        <v>18</v>
      </c>
      <c r="B13" s="361" t="s">
        <v>231</v>
      </c>
      <c r="C13" s="360" t="s">
        <v>429</v>
      </c>
      <c r="D13" s="1" t="s">
        <v>540</v>
      </c>
      <c r="E13" s="264" t="s">
        <v>540</v>
      </c>
      <c r="F13" s="264" t="s">
        <v>540</v>
      </c>
    </row>
    <row r="14" spans="1:6">
      <c r="A14" s="5">
        <v>19</v>
      </c>
      <c r="B14" s="361"/>
      <c r="C14" s="360"/>
      <c r="D14" s="1" t="s">
        <v>541</v>
      </c>
      <c r="E14" s="264" t="s">
        <v>541</v>
      </c>
      <c r="F14" s="264" t="s">
        <v>541</v>
      </c>
    </row>
    <row r="15" spans="1:6">
      <c r="A15" s="5">
        <v>20</v>
      </c>
      <c r="B15" s="361"/>
      <c r="C15" s="196" t="s">
        <v>1</v>
      </c>
      <c r="D15" s="1" t="s">
        <v>466</v>
      </c>
      <c r="E15" s="264" t="s">
        <v>570</v>
      </c>
      <c r="F15" s="264" t="s">
        <v>570</v>
      </c>
    </row>
    <row r="16" spans="1:6">
      <c r="A16" s="5">
        <v>21</v>
      </c>
      <c r="B16" s="361"/>
      <c r="C16" s="360" t="s">
        <v>430</v>
      </c>
      <c r="D16" s="1" t="s">
        <v>542</v>
      </c>
      <c r="E16" s="264" t="s">
        <v>610</v>
      </c>
      <c r="F16" s="264" t="s">
        <v>610</v>
      </c>
    </row>
    <row r="17" spans="1:6">
      <c r="A17" s="5">
        <v>22</v>
      </c>
      <c r="B17" s="361"/>
      <c r="C17" s="360"/>
      <c r="D17" s="1" t="s">
        <v>543</v>
      </c>
      <c r="E17" s="264" t="s">
        <v>611</v>
      </c>
      <c r="F17" s="264" t="s">
        <v>611</v>
      </c>
    </row>
    <row r="18" spans="1:6">
      <c r="A18" s="5">
        <v>23</v>
      </c>
      <c r="B18" s="360" t="s">
        <v>1</v>
      </c>
      <c r="C18" s="360"/>
      <c r="D18" s="1" t="s">
        <v>1</v>
      </c>
      <c r="E18" s="264" t="s">
        <v>1</v>
      </c>
      <c r="F18" s="264" t="s">
        <v>1</v>
      </c>
    </row>
    <row r="19" spans="1:6">
      <c r="A19" s="5">
        <v>24</v>
      </c>
      <c r="B19" s="196"/>
      <c r="C19" s="360" t="s">
        <v>431</v>
      </c>
      <c r="D19" s="1" t="s">
        <v>271</v>
      </c>
      <c r="E19" s="264" t="s">
        <v>271</v>
      </c>
      <c r="F19" s="264" t="s">
        <v>271</v>
      </c>
    </row>
    <row r="20" spans="1:6">
      <c r="A20" s="5">
        <v>25</v>
      </c>
      <c r="B20" s="196"/>
      <c r="C20" s="360"/>
      <c r="D20" s="1" t="s">
        <v>274</v>
      </c>
      <c r="E20" s="264" t="s">
        <v>274</v>
      </c>
      <c r="F20" s="264" t="s">
        <v>274</v>
      </c>
    </row>
    <row r="21" spans="1:6">
      <c r="A21" s="5">
        <v>26</v>
      </c>
      <c r="B21" s="360" t="s">
        <v>1</v>
      </c>
      <c r="C21" s="360"/>
      <c r="D21" s="1" t="s">
        <v>1</v>
      </c>
      <c r="E21" s="264" t="s">
        <v>1</v>
      </c>
      <c r="F21" s="264" t="s">
        <v>1</v>
      </c>
    </row>
    <row r="22" spans="1:6">
      <c r="A22" s="5">
        <v>27</v>
      </c>
      <c r="B22" s="361" t="s">
        <v>231</v>
      </c>
      <c r="C22" s="360" t="s">
        <v>432</v>
      </c>
      <c r="D22" s="1" t="s">
        <v>544</v>
      </c>
      <c r="E22" s="264" t="s">
        <v>544</v>
      </c>
      <c r="F22" s="264" t="s">
        <v>544</v>
      </c>
    </row>
    <row r="23" spans="1:6">
      <c r="A23" s="5">
        <v>28</v>
      </c>
      <c r="B23" s="361"/>
      <c r="C23" s="360"/>
      <c r="D23" s="1" t="s">
        <v>537</v>
      </c>
      <c r="E23" s="264" t="s">
        <v>537</v>
      </c>
      <c r="F23" s="264" t="s">
        <v>537</v>
      </c>
    </row>
    <row r="24" spans="1:6">
      <c r="A24" s="5">
        <v>29</v>
      </c>
      <c r="B24" s="361"/>
      <c r="C24" s="196" t="s">
        <v>1</v>
      </c>
      <c r="D24" s="1" t="s">
        <v>466</v>
      </c>
      <c r="E24" s="264" t="s">
        <v>570</v>
      </c>
      <c r="F24" s="264" t="s">
        <v>570</v>
      </c>
    </row>
    <row r="25" spans="1:6">
      <c r="A25" s="5">
        <v>30</v>
      </c>
      <c r="B25" s="361"/>
      <c r="C25" s="360" t="s">
        <v>433</v>
      </c>
      <c r="D25" s="1" t="s">
        <v>545</v>
      </c>
      <c r="E25" s="264" t="s">
        <v>612</v>
      </c>
      <c r="F25" s="264" t="s">
        <v>612</v>
      </c>
    </row>
    <row r="26" spans="1:6">
      <c r="A26" s="5">
        <v>31</v>
      </c>
      <c r="B26" s="361"/>
      <c r="C26" s="360"/>
      <c r="D26" s="1" t="s">
        <v>546</v>
      </c>
      <c r="E26" s="264" t="s">
        <v>613</v>
      </c>
      <c r="F26" s="264" t="s">
        <v>613</v>
      </c>
    </row>
    <row r="27" spans="1:6">
      <c r="A27" s="5">
        <v>32</v>
      </c>
      <c r="B27" s="360" t="s">
        <v>1</v>
      </c>
      <c r="C27" s="360"/>
      <c r="D27" s="1" t="s">
        <v>1</v>
      </c>
      <c r="E27" s="264" t="s">
        <v>1</v>
      </c>
      <c r="F27" s="264" t="s">
        <v>1</v>
      </c>
    </row>
    <row r="28" spans="1:6">
      <c r="A28" s="5">
        <v>33</v>
      </c>
      <c r="B28" s="360" t="s">
        <v>434</v>
      </c>
      <c r="C28" s="360"/>
      <c r="D28" s="1" t="s">
        <v>271</v>
      </c>
      <c r="E28" s="264" t="s">
        <v>271</v>
      </c>
      <c r="F28" s="264" t="s">
        <v>271</v>
      </c>
    </row>
    <row r="29" spans="1:6">
      <c r="A29" s="5">
        <v>34</v>
      </c>
      <c r="B29" s="360"/>
      <c r="C29" s="360"/>
      <c r="D29" s="1" t="s">
        <v>275</v>
      </c>
      <c r="E29" s="264" t="s">
        <v>275</v>
      </c>
      <c r="F29" s="264" t="s">
        <v>275</v>
      </c>
    </row>
    <row r="30" spans="1:6">
      <c r="A30" s="5">
        <v>35</v>
      </c>
      <c r="B30" s="360" t="s">
        <v>1</v>
      </c>
      <c r="C30" s="360"/>
      <c r="D30" s="1" t="s">
        <v>1</v>
      </c>
      <c r="E30" s="264" t="s">
        <v>1</v>
      </c>
      <c r="F30" s="264" t="s">
        <v>1</v>
      </c>
    </row>
    <row r="31" spans="1:6">
      <c r="A31" s="5">
        <v>36</v>
      </c>
      <c r="B31" s="360" t="s">
        <v>435</v>
      </c>
      <c r="C31" s="360"/>
      <c r="D31" s="1" t="s">
        <v>276</v>
      </c>
      <c r="E31" s="264" t="s">
        <v>276</v>
      </c>
      <c r="F31" s="264" t="s">
        <v>276</v>
      </c>
    </row>
    <row r="32" spans="1:6">
      <c r="A32" s="5">
        <v>37</v>
      </c>
      <c r="B32" s="360"/>
      <c r="C32" s="360"/>
      <c r="D32" s="1" t="s">
        <v>277</v>
      </c>
      <c r="E32" s="264" t="s">
        <v>277</v>
      </c>
      <c r="F32" s="264" t="s">
        <v>277</v>
      </c>
    </row>
    <row r="33" spans="1:6">
      <c r="A33" s="5">
        <v>38</v>
      </c>
      <c r="B33" s="360" t="s">
        <v>1</v>
      </c>
      <c r="C33" s="360"/>
      <c r="D33" s="1" t="s">
        <v>1</v>
      </c>
      <c r="E33" s="264" t="s">
        <v>1</v>
      </c>
      <c r="F33" s="264" t="s">
        <v>1</v>
      </c>
    </row>
    <row r="34" spans="1:6">
      <c r="A34" s="5">
        <v>39</v>
      </c>
      <c r="B34" s="360" t="s">
        <v>436</v>
      </c>
      <c r="C34" s="360"/>
      <c r="D34" s="1" t="s">
        <v>547</v>
      </c>
      <c r="E34" s="264" t="s">
        <v>547</v>
      </c>
      <c r="F34" s="264" t="s">
        <v>547</v>
      </c>
    </row>
    <row r="35" spans="1:6">
      <c r="A35" s="5">
        <v>40</v>
      </c>
      <c r="B35" s="360"/>
      <c r="C35" s="360"/>
      <c r="D35" s="1" t="s">
        <v>548</v>
      </c>
      <c r="E35" s="264" t="s">
        <v>548</v>
      </c>
      <c r="F35" s="264" t="s">
        <v>548</v>
      </c>
    </row>
    <row r="36" spans="1:6">
      <c r="A36" s="5">
        <v>41</v>
      </c>
      <c r="B36" s="360" t="s">
        <v>1</v>
      </c>
      <c r="C36" s="360"/>
      <c r="D36" s="1" t="s">
        <v>1</v>
      </c>
      <c r="E36" s="264" t="s">
        <v>1</v>
      </c>
      <c r="F36" s="264" t="s">
        <v>1</v>
      </c>
    </row>
    <row r="37" spans="1:6">
      <c r="A37" s="5">
        <v>42</v>
      </c>
      <c r="B37" s="360" t="s">
        <v>437</v>
      </c>
      <c r="C37" s="360"/>
      <c r="D37" s="1" t="s">
        <v>271</v>
      </c>
      <c r="E37" s="264" t="s">
        <v>271</v>
      </c>
      <c r="F37" s="264" t="s">
        <v>271</v>
      </c>
    </row>
    <row r="38" spans="1:6">
      <c r="A38" s="5">
        <v>43</v>
      </c>
      <c r="B38" s="360"/>
      <c r="C38" s="360"/>
      <c r="D38" s="1" t="s">
        <v>278</v>
      </c>
      <c r="E38" s="264" t="s">
        <v>278</v>
      </c>
      <c r="F38" s="264" t="s">
        <v>278</v>
      </c>
    </row>
    <row r="39" spans="1:6">
      <c r="A39" s="5">
        <v>44</v>
      </c>
      <c r="B39" s="360" t="s">
        <v>1</v>
      </c>
      <c r="C39" s="360"/>
      <c r="D39" s="1" t="s">
        <v>1</v>
      </c>
      <c r="E39" s="264" t="s">
        <v>1</v>
      </c>
      <c r="F39" s="264" t="s">
        <v>1</v>
      </c>
    </row>
    <row r="40" spans="1:6">
      <c r="A40" s="5">
        <v>45</v>
      </c>
      <c r="B40" s="360" t="s">
        <v>438</v>
      </c>
      <c r="C40" s="360"/>
      <c r="D40" s="1" t="s">
        <v>271</v>
      </c>
      <c r="E40" s="264" t="s">
        <v>271</v>
      </c>
      <c r="F40" s="264" t="s">
        <v>271</v>
      </c>
    </row>
    <row r="41" spans="1:6">
      <c r="A41" s="5">
        <v>46</v>
      </c>
      <c r="B41" s="360"/>
      <c r="C41" s="360"/>
      <c r="D41" s="1" t="s">
        <v>279</v>
      </c>
      <c r="E41" s="264" t="s">
        <v>279</v>
      </c>
      <c r="F41" s="264" t="s">
        <v>279</v>
      </c>
    </row>
    <row r="42" spans="1:6">
      <c r="A42" s="5">
        <v>47</v>
      </c>
      <c r="B42" s="360" t="s">
        <v>1</v>
      </c>
      <c r="C42" s="360"/>
      <c r="D42" s="1" t="s">
        <v>1</v>
      </c>
      <c r="E42" s="264" t="s">
        <v>1</v>
      </c>
      <c r="F42" s="264" t="s">
        <v>1</v>
      </c>
    </row>
    <row r="43" spans="1:6">
      <c r="A43" s="5">
        <v>48</v>
      </c>
      <c r="B43" s="361" t="s">
        <v>231</v>
      </c>
      <c r="C43" s="360" t="s">
        <v>439</v>
      </c>
      <c r="D43" s="1" t="s">
        <v>549</v>
      </c>
      <c r="E43" s="264" t="s">
        <v>549</v>
      </c>
      <c r="F43" s="264" t="s">
        <v>549</v>
      </c>
    </row>
    <row r="44" spans="1:6">
      <c r="A44" s="5">
        <v>49</v>
      </c>
      <c r="B44" s="361"/>
      <c r="C44" s="360"/>
      <c r="D44" s="1" t="s">
        <v>550</v>
      </c>
      <c r="E44" s="264" t="s">
        <v>550</v>
      </c>
      <c r="F44" s="264" t="s">
        <v>550</v>
      </c>
    </row>
    <row r="45" spans="1:6">
      <c r="A45" s="5">
        <v>50</v>
      </c>
      <c r="B45" s="361"/>
      <c r="C45" s="196" t="s">
        <v>1</v>
      </c>
      <c r="D45" s="1" t="s">
        <v>466</v>
      </c>
      <c r="E45" s="264" t="s">
        <v>570</v>
      </c>
      <c r="F45" s="264" t="s">
        <v>570</v>
      </c>
    </row>
    <row r="46" spans="1:6">
      <c r="A46" s="5">
        <v>51</v>
      </c>
      <c r="B46" s="361"/>
      <c r="C46" s="360" t="s">
        <v>440</v>
      </c>
      <c r="D46" s="1" t="s">
        <v>551</v>
      </c>
      <c r="E46" s="264" t="s">
        <v>614</v>
      </c>
      <c r="F46" s="264" t="s">
        <v>614</v>
      </c>
    </row>
    <row r="47" spans="1:6">
      <c r="A47" s="5">
        <v>52</v>
      </c>
      <c r="B47" s="361"/>
      <c r="C47" s="360"/>
      <c r="D47" s="1" t="s">
        <v>552</v>
      </c>
      <c r="E47" s="264" t="s">
        <v>615</v>
      </c>
      <c r="F47" s="264" t="s">
        <v>615</v>
      </c>
    </row>
    <row r="48" spans="1:6">
      <c r="A48" s="5">
        <v>53</v>
      </c>
      <c r="B48" s="360" t="s">
        <v>1</v>
      </c>
      <c r="C48" s="360"/>
      <c r="D48" s="1" t="s">
        <v>1</v>
      </c>
      <c r="E48" s="264" t="s">
        <v>1</v>
      </c>
      <c r="F48" s="264" t="s">
        <v>1</v>
      </c>
    </row>
    <row r="49" spans="1:6">
      <c r="A49" s="5">
        <v>54</v>
      </c>
      <c r="B49" s="360" t="s">
        <v>441</v>
      </c>
      <c r="C49" s="360"/>
      <c r="D49" s="1" t="s">
        <v>280</v>
      </c>
      <c r="E49" s="264" t="s">
        <v>280</v>
      </c>
      <c r="F49" s="264" t="s">
        <v>280</v>
      </c>
    </row>
    <row r="50" spans="1:6">
      <c r="A50" s="5">
        <v>55</v>
      </c>
      <c r="B50" s="360"/>
      <c r="C50" s="360"/>
      <c r="D50" s="1" t="s">
        <v>281</v>
      </c>
      <c r="E50" s="264" t="s">
        <v>281</v>
      </c>
      <c r="F50" s="264" t="s">
        <v>281</v>
      </c>
    </row>
    <row r="51" spans="1:6">
      <c r="A51" s="5">
        <v>56</v>
      </c>
      <c r="B51" s="360" t="s">
        <v>1</v>
      </c>
      <c r="C51" s="360"/>
      <c r="D51" s="1" t="s">
        <v>1</v>
      </c>
      <c r="E51" s="264" t="s">
        <v>1</v>
      </c>
      <c r="F51" s="264" t="s">
        <v>1</v>
      </c>
    </row>
    <row r="52" spans="1:6">
      <c r="A52" s="5">
        <v>57</v>
      </c>
      <c r="B52" s="362" t="s">
        <v>442</v>
      </c>
      <c r="C52" s="362"/>
      <c r="D52" s="1" t="s">
        <v>282</v>
      </c>
      <c r="E52" s="264" t="s">
        <v>282</v>
      </c>
      <c r="F52" s="264" t="s">
        <v>282</v>
      </c>
    </row>
    <row r="53" spans="1:6">
      <c r="A53" s="5">
        <v>58</v>
      </c>
      <c r="B53" s="362"/>
      <c r="C53" s="362"/>
      <c r="D53" s="1" t="s">
        <v>283</v>
      </c>
      <c r="E53" s="264" t="s">
        <v>283</v>
      </c>
      <c r="F53" s="264" t="s">
        <v>283</v>
      </c>
    </row>
    <row r="54" spans="1:6">
      <c r="A54" s="5">
        <v>59</v>
      </c>
      <c r="B54" s="360" t="s">
        <v>1</v>
      </c>
      <c r="C54" s="360"/>
      <c r="D54" s="1" t="s">
        <v>1</v>
      </c>
      <c r="E54" s="264" t="s">
        <v>1</v>
      </c>
      <c r="F54" s="264" t="s">
        <v>1</v>
      </c>
    </row>
    <row r="55" spans="1:6">
      <c r="A55" s="5">
        <v>60</v>
      </c>
      <c r="B55" s="362" t="s">
        <v>443</v>
      </c>
      <c r="C55" s="362"/>
      <c r="D55" s="1" t="s">
        <v>284</v>
      </c>
      <c r="E55" s="264" t="s">
        <v>284</v>
      </c>
      <c r="F55" s="264" t="s">
        <v>284</v>
      </c>
    </row>
    <row r="56" spans="1:6">
      <c r="A56" s="5">
        <v>61</v>
      </c>
      <c r="B56" s="362"/>
      <c r="C56" s="362"/>
      <c r="D56" s="1" t="s">
        <v>285</v>
      </c>
      <c r="E56" s="264" t="s">
        <v>285</v>
      </c>
      <c r="F56" s="264" t="s">
        <v>285</v>
      </c>
    </row>
    <row r="57" spans="1:6">
      <c r="A57" s="5">
        <v>62</v>
      </c>
      <c r="B57" s="360" t="s">
        <v>1</v>
      </c>
      <c r="C57" s="360"/>
      <c r="D57" s="1" t="s">
        <v>1</v>
      </c>
      <c r="E57" s="264" t="s">
        <v>1</v>
      </c>
      <c r="F57" s="264" t="s">
        <v>1</v>
      </c>
    </row>
    <row r="58" spans="1:6">
      <c r="A58" s="5">
        <v>63</v>
      </c>
      <c r="B58" s="362" t="s">
        <v>444</v>
      </c>
      <c r="C58" s="362"/>
      <c r="D58" s="1" t="s">
        <v>286</v>
      </c>
      <c r="E58" s="264" t="s">
        <v>286</v>
      </c>
      <c r="F58" s="264" t="s">
        <v>286</v>
      </c>
    </row>
    <row r="59" spans="1:6">
      <c r="A59" s="5">
        <v>64</v>
      </c>
      <c r="B59" s="362"/>
      <c r="C59" s="362"/>
      <c r="D59" s="1" t="s">
        <v>287</v>
      </c>
      <c r="E59" s="264" t="s">
        <v>287</v>
      </c>
      <c r="F59" s="264" t="s">
        <v>287</v>
      </c>
    </row>
    <row r="60" spans="1:6">
      <c r="A60" s="5">
        <v>65</v>
      </c>
      <c r="B60" s="360" t="s">
        <v>1</v>
      </c>
      <c r="C60" s="360"/>
      <c r="D60" s="1" t="s">
        <v>1</v>
      </c>
      <c r="E60" s="264" t="s">
        <v>1</v>
      </c>
      <c r="F60" s="264" t="s">
        <v>1</v>
      </c>
    </row>
    <row r="61" spans="1:6">
      <c r="A61" s="5">
        <v>66</v>
      </c>
      <c r="B61" s="362" t="s">
        <v>445</v>
      </c>
      <c r="C61" s="362"/>
      <c r="D61" s="1" t="s">
        <v>288</v>
      </c>
      <c r="E61" s="264" t="s">
        <v>288</v>
      </c>
      <c r="F61" s="264" t="s">
        <v>288</v>
      </c>
    </row>
    <row r="62" spans="1:6">
      <c r="A62" s="5">
        <v>67</v>
      </c>
      <c r="B62" s="362"/>
      <c r="C62" s="362"/>
      <c r="D62" s="1" t="s">
        <v>289</v>
      </c>
      <c r="E62" s="264" t="s">
        <v>289</v>
      </c>
      <c r="F62" s="264" t="s">
        <v>289</v>
      </c>
    </row>
    <row r="63" spans="1:6">
      <c r="A63" s="5">
        <v>68</v>
      </c>
      <c r="B63" s="360" t="s">
        <v>1</v>
      </c>
      <c r="C63" s="360"/>
      <c r="D63" s="1" t="s">
        <v>1</v>
      </c>
      <c r="E63" s="264" t="s">
        <v>1</v>
      </c>
      <c r="F63" s="264" t="s">
        <v>1</v>
      </c>
    </row>
    <row r="64" spans="1:6">
      <c r="A64" s="5">
        <v>69</v>
      </c>
      <c r="B64" s="362" t="s">
        <v>446</v>
      </c>
      <c r="C64" s="362"/>
      <c r="D64" s="1" t="s">
        <v>290</v>
      </c>
      <c r="E64" s="264" t="s">
        <v>290</v>
      </c>
      <c r="F64" s="264" t="s">
        <v>290</v>
      </c>
    </row>
    <row r="65" spans="1:6">
      <c r="A65" s="5">
        <v>70</v>
      </c>
      <c r="B65" s="362"/>
      <c r="C65" s="362"/>
      <c r="D65" s="1" t="s">
        <v>291</v>
      </c>
      <c r="E65" s="264" t="s">
        <v>291</v>
      </c>
      <c r="F65" s="264" t="s">
        <v>291</v>
      </c>
    </row>
    <row r="66" spans="1:6">
      <c r="A66" s="5">
        <v>71</v>
      </c>
      <c r="B66" s="360" t="s">
        <v>1</v>
      </c>
      <c r="C66" s="360"/>
      <c r="D66" s="1" t="s">
        <v>1</v>
      </c>
      <c r="E66" s="264" t="s">
        <v>1</v>
      </c>
      <c r="F66" s="264" t="s">
        <v>1</v>
      </c>
    </row>
    <row r="67" spans="1:6">
      <c r="A67" s="5">
        <v>72</v>
      </c>
      <c r="B67" s="362" t="s">
        <v>447</v>
      </c>
      <c r="C67" s="362"/>
      <c r="D67" s="1" t="s">
        <v>292</v>
      </c>
      <c r="E67" s="264" t="s">
        <v>292</v>
      </c>
      <c r="F67" s="264" t="s">
        <v>292</v>
      </c>
    </row>
    <row r="68" spans="1:6">
      <c r="A68" s="5">
        <v>73</v>
      </c>
      <c r="B68" s="362"/>
      <c r="C68" s="362"/>
      <c r="D68" s="1" t="s">
        <v>293</v>
      </c>
      <c r="E68" s="264" t="s">
        <v>293</v>
      </c>
      <c r="F68" s="264" t="s">
        <v>293</v>
      </c>
    </row>
    <row r="69" spans="1:6">
      <c r="A69" s="5">
        <v>74</v>
      </c>
      <c r="B69" s="360" t="s">
        <v>1</v>
      </c>
      <c r="C69" s="360"/>
      <c r="D69" s="1" t="s">
        <v>1</v>
      </c>
      <c r="E69" s="264" t="s">
        <v>1</v>
      </c>
      <c r="F69" s="264" t="s">
        <v>1</v>
      </c>
    </row>
    <row r="70" spans="1:6">
      <c r="A70" s="5">
        <v>75</v>
      </c>
      <c r="B70" s="362" t="s">
        <v>448</v>
      </c>
      <c r="C70" s="362"/>
      <c r="D70" s="1" t="s">
        <v>294</v>
      </c>
      <c r="E70" s="264" t="s">
        <v>294</v>
      </c>
      <c r="F70" s="264" t="s">
        <v>294</v>
      </c>
    </row>
    <row r="71" spans="1:6">
      <c r="A71" s="5">
        <v>76</v>
      </c>
      <c r="B71" s="362"/>
      <c r="C71" s="362"/>
      <c r="D71" s="1" t="s">
        <v>295</v>
      </c>
      <c r="E71" s="264" t="s">
        <v>295</v>
      </c>
      <c r="F71" s="264" t="s">
        <v>295</v>
      </c>
    </row>
    <row r="72" spans="1:6">
      <c r="A72" s="5">
        <v>77</v>
      </c>
      <c r="B72" s="360" t="s">
        <v>1</v>
      </c>
      <c r="C72" s="360"/>
      <c r="D72" s="1" t="s">
        <v>1</v>
      </c>
      <c r="E72" s="264" t="s">
        <v>1</v>
      </c>
      <c r="F72" s="264" t="s">
        <v>1</v>
      </c>
    </row>
    <row r="73" spans="1:6">
      <c r="A73" s="5">
        <v>78</v>
      </c>
      <c r="B73" s="362" t="s">
        <v>449</v>
      </c>
      <c r="C73" s="362"/>
      <c r="D73" s="1" t="s">
        <v>296</v>
      </c>
      <c r="E73" s="264" t="s">
        <v>296</v>
      </c>
      <c r="F73" s="264" t="s">
        <v>296</v>
      </c>
    </row>
    <row r="74" spans="1:6">
      <c r="A74" s="5">
        <v>79</v>
      </c>
      <c r="B74" s="362"/>
      <c r="C74" s="362"/>
      <c r="D74" s="1" t="s">
        <v>289</v>
      </c>
      <c r="E74" s="264" t="s">
        <v>289</v>
      </c>
      <c r="F74" s="264" t="s">
        <v>289</v>
      </c>
    </row>
    <row r="75" spans="1:6">
      <c r="A75" s="5">
        <v>80</v>
      </c>
      <c r="B75" s="360" t="s">
        <v>1</v>
      </c>
      <c r="C75" s="360"/>
      <c r="D75" s="1" t="s">
        <v>1</v>
      </c>
      <c r="E75" s="264" t="s">
        <v>1</v>
      </c>
      <c r="F75" s="264" t="s">
        <v>1</v>
      </c>
    </row>
    <row r="76" spans="1:6">
      <c r="A76" s="5">
        <v>81</v>
      </c>
      <c r="B76" s="362" t="s">
        <v>450</v>
      </c>
      <c r="C76" s="362"/>
      <c r="D76" s="1" t="s">
        <v>297</v>
      </c>
      <c r="E76" s="264" t="s">
        <v>297</v>
      </c>
      <c r="F76" s="264" t="s">
        <v>297</v>
      </c>
    </row>
    <row r="77" spans="1:6">
      <c r="A77" s="5">
        <v>82</v>
      </c>
      <c r="B77" s="362"/>
      <c r="C77" s="362"/>
      <c r="D77" s="1" t="s">
        <v>291</v>
      </c>
      <c r="E77" s="264" t="s">
        <v>291</v>
      </c>
      <c r="F77" s="264" t="s">
        <v>291</v>
      </c>
    </row>
    <row r="78" spans="1:6">
      <c r="A78" s="5">
        <v>83</v>
      </c>
      <c r="B78" s="360" t="s">
        <v>1</v>
      </c>
      <c r="C78" s="360"/>
      <c r="D78" s="1" t="s">
        <v>1</v>
      </c>
      <c r="E78" s="264" t="s">
        <v>1</v>
      </c>
      <c r="F78" s="264" t="s">
        <v>1</v>
      </c>
    </row>
    <row r="79" spans="1:6">
      <c r="A79" s="5">
        <v>84</v>
      </c>
      <c r="B79" s="362" t="s">
        <v>451</v>
      </c>
      <c r="C79" s="362"/>
      <c r="D79" s="1" t="s">
        <v>298</v>
      </c>
      <c r="E79" s="264" t="s">
        <v>298</v>
      </c>
      <c r="F79" s="264" t="s">
        <v>298</v>
      </c>
    </row>
    <row r="80" spans="1:6">
      <c r="A80" s="5">
        <v>85</v>
      </c>
      <c r="B80" s="362"/>
      <c r="C80" s="362"/>
      <c r="D80" s="1" t="s">
        <v>291</v>
      </c>
      <c r="E80" s="264" t="s">
        <v>291</v>
      </c>
      <c r="F80" s="264" t="s">
        <v>291</v>
      </c>
    </row>
    <row r="81" spans="1:6">
      <c r="A81" s="5">
        <v>86</v>
      </c>
      <c r="B81" s="360" t="s">
        <v>1</v>
      </c>
      <c r="C81" s="360"/>
      <c r="D81" s="1" t="s">
        <v>1</v>
      </c>
      <c r="E81" s="264" t="s">
        <v>1</v>
      </c>
      <c r="F81" s="264" t="s">
        <v>1</v>
      </c>
    </row>
    <row r="82" spans="1:6">
      <c r="A82" s="5">
        <v>87</v>
      </c>
      <c r="B82" s="362" t="s">
        <v>452</v>
      </c>
      <c r="C82" s="362"/>
      <c r="D82" s="1" t="s">
        <v>299</v>
      </c>
      <c r="E82" s="264" t="s">
        <v>299</v>
      </c>
      <c r="F82" s="264" t="s">
        <v>299</v>
      </c>
    </row>
    <row r="83" spans="1:6">
      <c r="A83" s="5">
        <v>88</v>
      </c>
      <c r="B83" s="362"/>
      <c r="C83" s="362"/>
      <c r="D83" s="1" t="s">
        <v>291</v>
      </c>
      <c r="E83" s="264" t="s">
        <v>291</v>
      </c>
      <c r="F83" s="264" t="s">
        <v>291</v>
      </c>
    </row>
    <row r="84" spans="1:6">
      <c r="A84" s="5">
        <v>89</v>
      </c>
      <c r="B84" s="360" t="s">
        <v>1</v>
      </c>
      <c r="C84" s="360"/>
      <c r="D84" s="1" t="s">
        <v>1</v>
      </c>
      <c r="E84" s="264" t="s">
        <v>1</v>
      </c>
      <c r="F84" s="264" t="s">
        <v>1</v>
      </c>
    </row>
    <row r="85" spans="1:6">
      <c r="A85" s="5">
        <v>90</v>
      </c>
      <c r="B85" s="362" t="s">
        <v>453</v>
      </c>
      <c r="C85" s="362"/>
      <c r="D85" s="1" t="s">
        <v>300</v>
      </c>
      <c r="E85" s="264" t="s">
        <v>300</v>
      </c>
      <c r="F85" s="264" t="s">
        <v>300</v>
      </c>
    </row>
    <row r="86" spans="1:6">
      <c r="A86" s="5">
        <v>91</v>
      </c>
      <c r="B86" s="362"/>
      <c r="C86" s="362"/>
      <c r="D86" s="1" t="s">
        <v>293</v>
      </c>
      <c r="E86" s="264" t="s">
        <v>293</v>
      </c>
      <c r="F86" s="264" t="s">
        <v>293</v>
      </c>
    </row>
    <row r="87" spans="1:6">
      <c r="A87" s="5">
        <v>92</v>
      </c>
      <c r="B87" s="360" t="s">
        <v>1</v>
      </c>
      <c r="C87" s="360"/>
      <c r="D87" s="1" t="s">
        <v>1</v>
      </c>
      <c r="E87" s="264" t="s">
        <v>1</v>
      </c>
      <c r="F87" s="264" t="s">
        <v>1</v>
      </c>
    </row>
    <row r="88" spans="1:6">
      <c r="A88" s="5">
        <v>93</v>
      </c>
      <c r="B88" s="362" t="s">
        <v>454</v>
      </c>
      <c r="C88" s="362"/>
      <c r="D88" s="1" t="s">
        <v>301</v>
      </c>
      <c r="E88" s="264" t="s">
        <v>301</v>
      </c>
      <c r="F88" s="264" t="s">
        <v>301</v>
      </c>
    </row>
    <row r="89" spans="1:6">
      <c r="A89" s="5">
        <v>94</v>
      </c>
      <c r="B89" s="362"/>
      <c r="C89" s="362"/>
      <c r="D89" s="1" t="s">
        <v>302</v>
      </c>
      <c r="E89" s="264" t="s">
        <v>302</v>
      </c>
      <c r="F89" s="264" t="s">
        <v>302</v>
      </c>
    </row>
    <row r="90" spans="1:6">
      <c r="A90" s="5">
        <v>95</v>
      </c>
      <c r="B90" s="360" t="s">
        <v>1</v>
      </c>
      <c r="C90" s="360"/>
      <c r="D90" s="1" t="s">
        <v>1</v>
      </c>
      <c r="E90" s="264" t="s">
        <v>1</v>
      </c>
      <c r="F90" s="264" t="s">
        <v>1</v>
      </c>
    </row>
    <row r="91" spans="1:6">
      <c r="A91" s="5">
        <v>96</v>
      </c>
      <c r="B91" s="362" t="s">
        <v>455</v>
      </c>
      <c r="C91" s="362"/>
      <c r="D91" s="1" t="s">
        <v>303</v>
      </c>
      <c r="E91" s="264" t="s">
        <v>308</v>
      </c>
      <c r="F91" s="264" t="s">
        <v>308</v>
      </c>
    </row>
    <row r="92" spans="1:6">
      <c r="A92" s="5">
        <v>97</v>
      </c>
      <c r="B92" s="362"/>
      <c r="C92" s="362"/>
      <c r="D92" s="1" t="s">
        <v>304</v>
      </c>
      <c r="E92" s="264" t="s">
        <v>309</v>
      </c>
      <c r="F92" s="264" t="s">
        <v>309</v>
      </c>
    </row>
    <row r="93" spans="1:6">
      <c r="A93" s="5">
        <v>98</v>
      </c>
      <c r="B93" s="360" t="s">
        <v>1</v>
      </c>
      <c r="C93" s="360"/>
      <c r="D93" s="1" t="s">
        <v>1</v>
      </c>
      <c r="E93" s="264" t="s">
        <v>1</v>
      </c>
      <c r="F93" s="264" t="s">
        <v>1</v>
      </c>
    </row>
    <row r="94" spans="1:6">
      <c r="A94" s="5">
        <v>99</v>
      </c>
      <c r="B94" s="362" t="s">
        <v>456</v>
      </c>
      <c r="C94" s="362"/>
      <c r="D94" s="1" t="s">
        <v>305</v>
      </c>
      <c r="E94" s="264" t="s">
        <v>645</v>
      </c>
      <c r="F94" s="264" t="s">
        <v>645</v>
      </c>
    </row>
    <row r="95" spans="1:6">
      <c r="A95" s="5">
        <v>100</v>
      </c>
      <c r="B95" s="362"/>
      <c r="C95" s="362"/>
      <c r="D95" s="1" t="s">
        <v>306</v>
      </c>
      <c r="E95" s="264" t="s">
        <v>1110</v>
      </c>
      <c r="F95" s="264" t="s">
        <v>1110</v>
      </c>
    </row>
    <row r="96" spans="1:6">
      <c r="A96" s="5">
        <v>101</v>
      </c>
      <c r="B96" s="360" t="s">
        <v>1</v>
      </c>
      <c r="C96" s="360"/>
      <c r="D96" s="1" t="s">
        <v>1</v>
      </c>
      <c r="E96" s="264" t="s">
        <v>1</v>
      </c>
      <c r="F96" s="264" t="s">
        <v>1</v>
      </c>
    </row>
    <row r="97" spans="1:6">
      <c r="A97" s="5">
        <v>102</v>
      </c>
      <c r="B97" s="362" t="s">
        <v>457</v>
      </c>
      <c r="C97" s="362"/>
      <c r="D97" s="1" t="s">
        <v>307</v>
      </c>
      <c r="E97" s="264" t="s">
        <v>271</v>
      </c>
      <c r="F97" s="264" t="s">
        <v>271</v>
      </c>
    </row>
    <row r="98" spans="1:6">
      <c r="A98" s="5">
        <v>103</v>
      </c>
      <c r="B98" s="362"/>
      <c r="C98" s="362"/>
      <c r="D98" s="1" t="s">
        <v>302</v>
      </c>
      <c r="E98" s="264" t="s">
        <v>312</v>
      </c>
      <c r="F98" s="264" t="s">
        <v>312</v>
      </c>
    </row>
    <row r="99" spans="1:6">
      <c r="A99" s="5">
        <v>104</v>
      </c>
      <c r="B99" s="360" t="s">
        <v>1</v>
      </c>
      <c r="C99" s="360"/>
      <c r="D99" s="1" t="s">
        <v>1</v>
      </c>
      <c r="E99" s="264" t="s">
        <v>1</v>
      </c>
      <c r="F99" s="264" t="s">
        <v>1</v>
      </c>
    </row>
    <row r="100" spans="1:6">
      <c r="A100" s="5">
        <v>105</v>
      </c>
      <c r="B100" s="362" t="s">
        <v>458</v>
      </c>
      <c r="C100" s="362"/>
      <c r="D100" s="1" t="s">
        <v>308</v>
      </c>
      <c r="E100" s="264" t="s">
        <v>271</v>
      </c>
      <c r="F100" s="264" t="s">
        <v>271</v>
      </c>
    </row>
    <row r="101" spans="1:6">
      <c r="A101" s="5">
        <v>106</v>
      </c>
      <c r="B101" s="362"/>
      <c r="C101" s="362"/>
      <c r="D101" s="1" t="s">
        <v>309</v>
      </c>
      <c r="E101" s="264" t="s">
        <v>313</v>
      </c>
      <c r="F101" s="264" t="s">
        <v>313</v>
      </c>
    </row>
    <row r="102" spans="1:6">
      <c r="A102" s="5">
        <v>107</v>
      </c>
      <c r="B102" s="360" t="s">
        <v>1</v>
      </c>
      <c r="C102" s="360"/>
      <c r="D102" s="1" t="s">
        <v>1</v>
      </c>
      <c r="E102" s="264" t="s">
        <v>1</v>
      </c>
      <c r="F102" s="264" t="s">
        <v>1</v>
      </c>
    </row>
    <row r="103" spans="1:6">
      <c r="A103" s="5">
        <v>108</v>
      </c>
      <c r="B103" s="362" t="s">
        <v>459</v>
      </c>
      <c r="C103" s="362"/>
      <c r="D103" s="1" t="s">
        <v>310</v>
      </c>
      <c r="E103" s="264" t="s">
        <v>553</v>
      </c>
      <c r="F103" s="264" t="s">
        <v>553</v>
      </c>
    </row>
    <row r="104" spans="1:6">
      <c r="A104" s="5">
        <v>109</v>
      </c>
      <c r="B104" s="362"/>
      <c r="C104" s="362"/>
      <c r="D104" s="1" t="s">
        <v>311</v>
      </c>
      <c r="E104" s="264" t="s">
        <v>554</v>
      </c>
      <c r="F104" s="264" t="s">
        <v>554</v>
      </c>
    </row>
    <row r="105" spans="1:6">
      <c r="A105" s="5">
        <v>110</v>
      </c>
      <c r="B105" s="360" t="s">
        <v>1</v>
      </c>
      <c r="C105" s="360"/>
      <c r="D105" s="1" t="s">
        <v>1</v>
      </c>
      <c r="E105" s="264" t="s">
        <v>570</v>
      </c>
      <c r="F105" s="264" t="s">
        <v>570</v>
      </c>
    </row>
    <row r="106" spans="1:6" ht="12" customHeight="1">
      <c r="A106" s="5">
        <v>111</v>
      </c>
      <c r="B106" s="362" t="s">
        <v>460</v>
      </c>
      <c r="C106" s="362"/>
      <c r="D106" s="1" t="s">
        <v>271</v>
      </c>
      <c r="E106" s="264" t="s">
        <v>616</v>
      </c>
      <c r="F106" s="264" t="s">
        <v>616</v>
      </c>
    </row>
    <row r="107" spans="1:6">
      <c r="A107" s="5">
        <v>112</v>
      </c>
      <c r="B107" s="362"/>
      <c r="C107" s="362"/>
      <c r="D107" s="1" t="s">
        <v>312</v>
      </c>
      <c r="E107" s="264" t="s">
        <v>617</v>
      </c>
      <c r="F107" s="264" t="s">
        <v>617</v>
      </c>
    </row>
    <row r="108" spans="1:6">
      <c r="A108" s="5">
        <v>113</v>
      </c>
      <c r="B108" s="360" t="s">
        <v>1</v>
      </c>
      <c r="C108" s="360"/>
      <c r="D108" s="1" t="s">
        <v>1</v>
      </c>
      <c r="E108" s="264" t="s">
        <v>1</v>
      </c>
      <c r="F108" s="264" t="s">
        <v>1</v>
      </c>
    </row>
    <row r="109" spans="1:6">
      <c r="A109" s="5">
        <v>114</v>
      </c>
      <c r="B109" s="362" t="s">
        <v>461</v>
      </c>
      <c r="C109" s="362"/>
      <c r="D109" s="1" t="s">
        <v>271</v>
      </c>
      <c r="E109" s="264" t="s">
        <v>271</v>
      </c>
      <c r="F109" s="264" t="s">
        <v>271</v>
      </c>
    </row>
    <row r="110" spans="1:6">
      <c r="A110" s="5">
        <v>115</v>
      </c>
      <c r="B110" s="362"/>
      <c r="C110" s="362"/>
      <c r="D110" s="1" t="s">
        <v>313</v>
      </c>
      <c r="E110" s="264" t="s">
        <v>2</v>
      </c>
      <c r="F110" s="264" t="s">
        <v>2</v>
      </c>
    </row>
    <row r="111" spans="1:6">
      <c r="A111" s="5">
        <v>116</v>
      </c>
      <c r="B111" s="360" t="s">
        <v>1</v>
      </c>
      <c r="C111" s="360"/>
      <c r="D111" s="1" t="s">
        <v>1</v>
      </c>
      <c r="E111" s="264" t="s">
        <v>1</v>
      </c>
      <c r="F111" s="264" t="s">
        <v>1</v>
      </c>
    </row>
    <row r="112" spans="1:6">
      <c r="A112" s="5">
        <v>117</v>
      </c>
      <c r="B112" s="361" t="s">
        <v>231</v>
      </c>
      <c r="C112" s="362" t="s">
        <v>462</v>
      </c>
      <c r="D112" s="1" t="s">
        <v>553</v>
      </c>
      <c r="E112" s="264" t="s">
        <v>557</v>
      </c>
      <c r="F112" s="264" t="s">
        <v>557</v>
      </c>
    </row>
    <row r="113" spans="1:6">
      <c r="A113" s="5">
        <v>118</v>
      </c>
      <c r="B113" s="361"/>
      <c r="C113" s="362"/>
      <c r="D113" s="1" t="s">
        <v>554</v>
      </c>
      <c r="E113" s="264" t="s">
        <v>537</v>
      </c>
      <c r="F113" s="264" t="s">
        <v>537</v>
      </c>
    </row>
    <row r="114" spans="1:6">
      <c r="A114" s="5">
        <v>119</v>
      </c>
      <c r="B114" s="361"/>
      <c r="C114" s="197" t="s">
        <v>17</v>
      </c>
      <c r="D114" s="1" t="s">
        <v>466</v>
      </c>
      <c r="E114" s="264" t="s">
        <v>570</v>
      </c>
      <c r="F114" s="264" t="s">
        <v>570</v>
      </c>
    </row>
    <row r="115" spans="1:6">
      <c r="A115" s="5">
        <v>120</v>
      </c>
      <c r="B115" s="361"/>
      <c r="C115" s="362" t="s">
        <v>463</v>
      </c>
      <c r="D115" s="1" t="s">
        <v>555</v>
      </c>
      <c r="E115" s="264" t="s">
        <v>618</v>
      </c>
      <c r="F115" s="264" t="s">
        <v>618</v>
      </c>
    </row>
    <row r="116" spans="1:6">
      <c r="A116" s="5">
        <v>121</v>
      </c>
      <c r="B116" s="361"/>
      <c r="C116" s="362"/>
      <c r="D116" s="1" t="s">
        <v>556</v>
      </c>
      <c r="E116" s="264" t="s">
        <v>609</v>
      </c>
      <c r="F116" s="264" t="s">
        <v>609</v>
      </c>
    </row>
    <row r="117" spans="1:6">
      <c r="A117" s="5">
        <v>122</v>
      </c>
      <c r="C117" s="4" t="s">
        <v>1</v>
      </c>
      <c r="D117" s="1" t="s">
        <v>1</v>
      </c>
      <c r="E117" s="264" t="s">
        <v>1</v>
      </c>
      <c r="F117" s="264" t="s">
        <v>1</v>
      </c>
    </row>
    <row r="118" spans="1:6">
      <c r="A118" s="5">
        <v>123</v>
      </c>
      <c r="C118" s="4" t="s">
        <v>402</v>
      </c>
      <c r="D118" s="1" t="s">
        <v>271</v>
      </c>
      <c r="E118" s="264" t="s">
        <v>647</v>
      </c>
      <c r="F118" s="264" t="s">
        <v>647</v>
      </c>
    </row>
    <row r="119" spans="1:6">
      <c r="A119" s="5">
        <v>124</v>
      </c>
      <c r="C119" s="4" t="s">
        <v>2</v>
      </c>
      <c r="D119" s="1" t="s">
        <v>2</v>
      </c>
      <c r="E119" s="264" t="s">
        <v>559</v>
      </c>
      <c r="F119" s="264" t="s">
        <v>559</v>
      </c>
    </row>
    <row r="120" spans="1:6">
      <c r="A120" s="5">
        <v>125</v>
      </c>
      <c r="C120" s="4" t="s">
        <v>1</v>
      </c>
      <c r="D120" s="1" t="s">
        <v>1</v>
      </c>
      <c r="E120" s="264" t="s">
        <v>1</v>
      </c>
      <c r="F120" s="264" t="s">
        <v>1</v>
      </c>
    </row>
    <row r="121" spans="1:6">
      <c r="A121" s="5">
        <v>126</v>
      </c>
      <c r="C121" s="4" t="s">
        <v>464</v>
      </c>
      <c r="D121" s="1" t="s">
        <v>557</v>
      </c>
      <c r="E121" s="264" t="s">
        <v>560</v>
      </c>
      <c r="F121" s="264" t="s">
        <v>560</v>
      </c>
    </row>
    <row r="122" spans="1:6">
      <c r="A122" s="5">
        <v>127</v>
      </c>
      <c r="C122" s="4" t="s">
        <v>465</v>
      </c>
      <c r="D122" s="1" t="s">
        <v>537</v>
      </c>
      <c r="E122" s="264" t="s">
        <v>537</v>
      </c>
      <c r="F122" s="264" t="s">
        <v>537</v>
      </c>
    </row>
    <row r="123" spans="1:6">
      <c r="A123" s="5">
        <v>128</v>
      </c>
      <c r="C123" s="4" t="s">
        <v>466</v>
      </c>
      <c r="D123" s="1" t="s">
        <v>466</v>
      </c>
      <c r="E123" s="264" t="s">
        <v>570</v>
      </c>
      <c r="F123" s="264" t="s">
        <v>570</v>
      </c>
    </row>
    <row r="124" spans="1:6">
      <c r="A124" s="5">
        <v>129</v>
      </c>
      <c r="C124" s="4" t="s">
        <v>467</v>
      </c>
      <c r="D124" s="1" t="s">
        <v>558</v>
      </c>
      <c r="E124" s="264" t="s">
        <v>619</v>
      </c>
      <c r="F124" s="264" t="s">
        <v>619</v>
      </c>
    </row>
    <row r="125" spans="1:6">
      <c r="A125" s="5">
        <v>130</v>
      </c>
      <c r="C125" s="4" t="s">
        <v>468</v>
      </c>
      <c r="D125" s="1" t="s">
        <v>539</v>
      </c>
      <c r="E125" s="264" t="s">
        <v>620</v>
      </c>
      <c r="F125" s="264" t="s">
        <v>620</v>
      </c>
    </row>
    <row r="126" spans="1:6">
      <c r="A126" s="5">
        <v>131</v>
      </c>
      <c r="C126" s="4" t="s">
        <v>1</v>
      </c>
      <c r="D126" s="1" t="s">
        <v>1</v>
      </c>
      <c r="E126" s="264" t="s">
        <v>1</v>
      </c>
      <c r="F126" s="264" t="s">
        <v>1</v>
      </c>
    </row>
    <row r="127" spans="1:6">
      <c r="A127" s="5">
        <v>132</v>
      </c>
      <c r="C127" s="4" t="s">
        <v>402</v>
      </c>
      <c r="D127" s="1" t="s">
        <v>271</v>
      </c>
      <c r="E127" s="264" t="s">
        <v>314</v>
      </c>
      <c r="F127" s="264" t="s">
        <v>314</v>
      </c>
    </row>
    <row r="128" spans="1:6">
      <c r="A128" s="5">
        <v>133</v>
      </c>
      <c r="C128" s="4" t="s">
        <v>469</v>
      </c>
      <c r="D128" s="1" t="s">
        <v>559</v>
      </c>
      <c r="E128" s="264" t="s">
        <v>315</v>
      </c>
      <c r="F128" s="264" t="s">
        <v>315</v>
      </c>
    </row>
    <row r="129" spans="1:6">
      <c r="A129" s="5">
        <v>134</v>
      </c>
      <c r="C129" s="4" t="s">
        <v>1</v>
      </c>
      <c r="D129" s="1" t="s">
        <v>1</v>
      </c>
      <c r="E129" s="264" t="s">
        <v>1</v>
      </c>
      <c r="F129" s="264" t="s">
        <v>1</v>
      </c>
    </row>
    <row r="130" spans="1:6">
      <c r="A130" s="5">
        <v>135</v>
      </c>
      <c r="C130" s="4" t="s">
        <v>470</v>
      </c>
      <c r="D130" s="1" t="s">
        <v>560</v>
      </c>
      <c r="E130" s="264" t="s">
        <v>563</v>
      </c>
      <c r="F130" s="264" t="s">
        <v>563</v>
      </c>
    </row>
    <row r="131" spans="1:6">
      <c r="A131" s="5">
        <v>136</v>
      </c>
      <c r="C131" s="4" t="s">
        <v>465</v>
      </c>
      <c r="D131" s="1" t="s">
        <v>537</v>
      </c>
      <c r="E131" s="264" t="s">
        <v>564</v>
      </c>
      <c r="F131" s="264" t="s">
        <v>564</v>
      </c>
    </row>
    <row r="132" spans="1:6">
      <c r="A132" s="5">
        <v>137</v>
      </c>
      <c r="C132" s="4" t="s">
        <v>466</v>
      </c>
      <c r="D132" s="1" t="s">
        <v>466</v>
      </c>
      <c r="E132" s="264" t="s">
        <v>570</v>
      </c>
      <c r="F132" s="264" t="s">
        <v>570</v>
      </c>
    </row>
    <row r="133" spans="1:6">
      <c r="A133" s="5">
        <v>138</v>
      </c>
      <c r="C133" s="4" t="s">
        <v>471</v>
      </c>
      <c r="D133" s="1" t="s">
        <v>561</v>
      </c>
      <c r="E133" s="264" t="s">
        <v>621</v>
      </c>
      <c r="F133" s="264" t="s">
        <v>621</v>
      </c>
    </row>
    <row r="134" spans="1:6">
      <c r="A134" s="5">
        <v>139</v>
      </c>
      <c r="C134" s="4" t="s">
        <v>472</v>
      </c>
      <c r="D134" s="1" t="s">
        <v>562</v>
      </c>
      <c r="E134" s="264" t="s">
        <v>622</v>
      </c>
      <c r="F134" s="264" t="s">
        <v>622</v>
      </c>
    </row>
    <row r="135" spans="1:6">
      <c r="A135" s="5">
        <v>140</v>
      </c>
      <c r="C135" s="4" t="s">
        <v>1</v>
      </c>
      <c r="D135" s="1" t="s">
        <v>1</v>
      </c>
      <c r="E135" s="264" t="s">
        <v>1</v>
      </c>
      <c r="F135" s="264" t="s">
        <v>1</v>
      </c>
    </row>
    <row r="136" spans="1:6">
      <c r="A136" s="5">
        <v>141</v>
      </c>
      <c r="C136" s="4" t="s">
        <v>404</v>
      </c>
      <c r="D136" s="1" t="s">
        <v>314</v>
      </c>
      <c r="E136" s="264" t="s">
        <v>316</v>
      </c>
      <c r="F136" s="264" t="s">
        <v>316</v>
      </c>
    </row>
    <row r="137" spans="1:6">
      <c r="A137" s="5">
        <v>142</v>
      </c>
      <c r="C137" s="4" t="s">
        <v>405</v>
      </c>
      <c r="D137" s="1" t="s">
        <v>315</v>
      </c>
      <c r="E137" s="264" t="s">
        <v>3</v>
      </c>
      <c r="F137" s="264" t="s">
        <v>3</v>
      </c>
    </row>
    <row r="138" spans="1:6">
      <c r="A138" s="5">
        <v>143</v>
      </c>
      <c r="C138" s="4" t="s">
        <v>1</v>
      </c>
      <c r="D138" s="1" t="s">
        <v>1</v>
      </c>
      <c r="E138" s="264" t="s">
        <v>1</v>
      </c>
      <c r="F138" s="264" t="s">
        <v>1</v>
      </c>
    </row>
    <row r="139" spans="1:6">
      <c r="A139" s="5">
        <v>144</v>
      </c>
      <c r="C139" s="4" t="s">
        <v>473</v>
      </c>
      <c r="D139" s="1" t="s">
        <v>563</v>
      </c>
      <c r="E139" s="264" t="s">
        <v>648</v>
      </c>
      <c r="F139" s="264" t="s">
        <v>648</v>
      </c>
    </row>
    <row r="140" spans="1:6">
      <c r="A140" s="5">
        <v>145</v>
      </c>
      <c r="C140" s="4" t="s">
        <v>474</v>
      </c>
      <c r="D140" s="1" t="s">
        <v>564</v>
      </c>
      <c r="E140" s="264" t="s">
        <v>567</v>
      </c>
      <c r="F140" s="264" t="s">
        <v>567</v>
      </c>
    </row>
    <row r="141" spans="1:6">
      <c r="A141" s="5">
        <v>146</v>
      </c>
      <c r="C141" s="4" t="s">
        <v>466</v>
      </c>
      <c r="D141" s="1" t="s">
        <v>466</v>
      </c>
      <c r="E141" s="264" t="s">
        <v>1</v>
      </c>
      <c r="F141" s="264" t="s">
        <v>1</v>
      </c>
    </row>
    <row r="142" spans="1:6">
      <c r="A142" s="5">
        <v>147</v>
      </c>
      <c r="C142" s="4" t="s">
        <v>475</v>
      </c>
      <c r="D142" s="1" t="s">
        <v>565</v>
      </c>
      <c r="E142" s="264" t="s">
        <v>271</v>
      </c>
      <c r="F142" s="264" t="s">
        <v>271</v>
      </c>
    </row>
    <row r="143" spans="1:6">
      <c r="A143" s="5">
        <v>148</v>
      </c>
      <c r="C143" s="4" t="s">
        <v>476</v>
      </c>
      <c r="D143" s="1" t="s">
        <v>566</v>
      </c>
      <c r="E143" s="264" t="s">
        <v>317</v>
      </c>
      <c r="F143" s="264" t="s">
        <v>317</v>
      </c>
    </row>
    <row r="144" spans="1:6">
      <c r="A144" s="5">
        <v>149</v>
      </c>
      <c r="C144" s="4" t="s">
        <v>1</v>
      </c>
      <c r="D144" s="1" t="s">
        <v>1</v>
      </c>
      <c r="E144" s="264" t="s">
        <v>1</v>
      </c>
      <c r="F144" s="264" t="s">
        <v>1</v>
      </c>
    </row>
    <row r="145" spans="1:6">
      <c r="A145" s="5">
        <v>150</v>
      </c>
      <c r="C145" s="4" t="s">
        <v>406</v>
      </c>
      <c r="D145" s="1" t="s">
        <v>316</v>
      </c>
      <c r="E145" s="264" t="s">
        <v>280</v>
      </c>
      <c r="F145" s="264" t="s">
        <v>280</v>
      </c>
    </row>
    <row r="146" spans="1:6">
      <c r="A146" s="5">
        <v>151</v>
      </c>
      <c r="C146" s="4" t="s">
        <v>3</v>
      </c>
      <c r="D146" s="1" t="s">
        <v>3</v>
      </c>
      <c r="E146" s="264" t="s">
        <v>318</v>
      </c>
      <c r="F146" s="264" t="s">
        <v>318</v>
      </c>
    </row>
    <row r="147" spans="1:6">
      <c r="A147" s="5">
        <v>152</v>
      </c>
      <c r="C147" s="4" t="s">
        <v>1</v>
      </c>
      <c r="D147" s="1" t="s">
        <v>1</v>
      </c>
      <c r="E147" s="264" t="s">
        <v>1</v>
      </c>
      <c r="F147" s="264" t="s">
        <v>1</v>
      </c>
    </row>
    <row r="148" spans="1:6">
      <c r="A148" s="5">
        <v>153</v>
      </c>
      <c r="C148" s="4" t="s">
        <v>412</v>
      </c>
      <c r="D148" s="1" t="s">
        <v>322</v>
      </c>
      <c r="E148" s="264" t="s">
        <v>322</v>
      </c>
      <c r="F148" s="264" t="s">
        <v>322</v>
      </c>
    </row>
    <row r="149" spans="1:6">
      <c r="A149" s="5">
        <v>154</v>
      </c>
      <c r="C149" s="4" t="s">
        <v>477</v>
      </c>
      <c r="D149" s="1" t="s">
        <v>567</v>
      </c>
      <c r="E149" s="264" t="s">
        <v>478</v>
      </c>
      <c r="F149" s="264" t="s">
        <v>478</v>
      </c>
    </row>
    <row r="150" spans="1:6">
      <c r="A150" s="5">
        <v>155</v>
      </c>
      <c r="C150" s="4" t="s">
        <v>1</v>
      </c>
      <c r="D150" s="1" t="s">
        <v>1</v>
      </c>
      <c r="E150" s="264" t="s">
        <v>1</v>
      </c>
      <c r="F150" s="264" t="s">
        <v>1</v>
      </c>
    </row>
    <row r="151" spans="1:6">
      <c r="A151" s="5">
        <v>156</v>
      </c>
      <c r="C151" s="4" t="s">
        <v>402</v>
      </c>
      <c r="D151" s="1" t="s">
        <v>271</v>
      </c>
      <c r="E151" s="264" t="s">
        <v>271</v>
      </c>
      <c r="F151" s="264" t="s">
        <v>271</v>
      </c>
    </row>
    <row r="152" spans="1:6">
      <c r="A152" s="5">
        <v>157</v>
      </c>
      <c r="C152" s="4" t="s">
        <v>407</v>
      </c>
      <c r="D152" s="1" t="s">
        <v>317</v>
      </c>
      <c r="E152" s="264" t="s">
        <v>319</v>
      </c>
      <c r="F152" s="264" t="s">
        <v>319</v>
      </c>
    </row>
    <row r="153" spans="1:6">
      <c r="A153" s="5">
        <v>158</v>
      </c>
      <c r="C153" s="4" t="s">
        <v>1</v>
      </c>
      <c r="D153" s="1" t="s">
        <v>1</v>
      </c>
      <c r="E153" s="264" t="s">
        <v>1</v>
      </c>
      <c r="F153" s="264" t="s">
        <v>1</v>
      </c>
    </row>
    <row r="154" spans="1:6">
      <c r="A154" s="5">
        <v>159</v>
      </c>
      <c r="C154" s="4" t="s">
        <v>403</v>
      </c>
      <c r="D154" s="1" t="s">
        <v>280</v>
      </c>
      <c r="E154" s="264" t="s">
        <v>271</v>
      </c>
      <c r="F154" s="264" t="s">
        <v>271</v>
      </c>
    </row>
    <row r="155" spans="1:6">
      <c r="A155" s="5">
        <v>160</v>
      </c>
      <c r="C155" s="4" t="s">
        <v>408</v>
      </c>
      <c r="D155" s="1" t="s">
        <v>318</v>
      </c>
      <c r="E155" s="264" t="s">
        <v>320</v>
      </c>
      <c r="F155" s="264" t="s">
        <v>320</v>
      </c>
    </row>
    <row r="156" spans="1:6">
      <c r="A156" s="5">
        <v>161</v>
      </c>
      <c r="C156" s="4" t="s">
        <v>1</v>
      </c>
      <c r="D156" s="1" t="s">
        <v>1</v>
      </c>
      <c r="E156" s="264" t="s">
        <v>1</v>
      </c>
      <c r="F156" s="264" t="s">
        <v>1</v>
      </c>
    </row>
    <row r="157" spans="1:6">
      <c r="A157" s="5">
        <v>162</v>
      </c>
      <c r="C157" s="4" t="s">
        <v>412</v>
      </c>
      <c r="D157" s="1" t="s">
        <v>322</v>
      </c>
      <c r="E157" s="264" t="s">
        <v>568</v>
      </c>
      <c r="F157" s="264" t="s">
        <v>568</v>
      </c>
    </row>
    <row r="158" spans="1:6">
      <c r="A158" s="5">
        <v>163</v>
      </c>
      <c r="C158" s="4" t="s">
        <v>478</v>
      </c>
      <c r="D158" s="1" t="s">
        <v>478</v>
      </c>
      <c r="E158" s="264" t="s">
        <v>569</v>
      </c>
      <c r="F158" s="264" t="s">
        <v>569</v>
      </c>
    </row>
    <row r="159" spans="1:6">
      <c r="A159" s="5">
        <v>164</v>
      </c>
      <c r="C159" s="4" t="s">
        <v>1</v>
      </c>
      <c r="D159" s="1" t="s">
        <v>1</v>
      </c>
      <c r="E159" s="264" t="s">
        <v>570</v>
      </c>
      <c r="F159" s="264" t="s">
        <v>570</v>
      </c>
    </row>
    <row r="160" spans="1:6">
      <c r="A160" s="5">
        <v>165</v>
      </c>
      <c r="C160" s="4" t="s">
        <v>402</v>
      </c>
      <c r="D160" s="1" t="s">
        <v>271</v>
      </c>
      <c r="E160" s="264" t="s">
        <v>571</v>
      </c>
      <c r="F160" s="264" t="s">
        <v>571</v>
      </c>
    </row>
    <row r="161" spans="1:6">
      <c r="A161" s="5">
        <v>166</v>
      </c>
      <c r="C161" s="4" t="s">
        <v>409</v>
      </c>
      <c r="D161" s="1" t="s">
        <v>319</v>
      </c>
      <c r="E161" s="264" t="s">
        <v>623</v>
      </c>
      <c r="F161" s="264" t="s">
        <v>623</v>
      </c>
    </row>
    <row r="162" spans="1:6">
      <c r="A162" s="5">
        <v>167</v>
      </c>
      <c r="C162" s="4" t="s">
        <v>1</v>
      </c>
      <c r="D162" s="1" t="s">
        <v>1</v>
      </c>
      <c r="E162" s="264" t="s">
        <v>570</v>
      </c>
      <c r="F162" s="264" t="s">
        <v>570</v>
      </c>
    </row>
    <row r="163" spans="1:6">
      <c r="A163" s="5">
        <v>168</v>
      </c>
      <c r="C163" s="4" t="s">
        <v>402</v>
      </c>
      <c r="D163" s="1" t="s">
        <v>271</v>
      </c>
      <c r="E163" s="264" t="s">
        <v>624</v>
      </c>
      <c r="F163" s="264" t="s">
        <v>624</v>
      </c>
    </row>
    <row r="164" spans="1:6">
      <c r="A164" s="5">
        <v>169</v>
      </c>
      <c r="C164" s="4" t="s">
        <v>410</v>
      </c>
      <c r="D164" s="1" t="s">
        <v>320</v>
      </c>
      <c r="E164" s="264" t="s">
        <v>574</v>
      </c>
      <c r="F164" s="264" t="s">
        <v>574</v>
      </c>
    </row>
    <row r="165" spans="1:6">
      <c r="A165" s="5">
        <v>170</v>
      </c>
      <c r="C165" s="4" t="s">
        <v>1</v>
      </c>
      <c r="D165" s="1" t="s">
        <v>1</v>
      </c>
      <c r="E165" s="264" t="s">
        <v>1</v>
      </c>
      <c r="F165" s="264" t="s">
        <v>1</v>
      </c>
    </row>
    <row r="166" spans="1:6">
      <c r="A166" s="5">
        <v>171</v>
      </c>
      <c r="C166" s="4" t="s">
        <v>479</v>
      </c>
      <c r="D166" s="1" t="s">
        <v>568</v>
      </c>
      <c r="E166" s="264" t="s">
        <v>648</v>
      </c>
      <c r="F166" s="264" t="s">
        <v>648</v>
      </c>
    </row>
    <row r="167" spans="1:6">
      <c r="A167" s="5">
        <v>172</v>
      </c>
      <c r="C167" s="4" t="s">
        <v>480</v>
      </c>
      <c r="D167" s="1" t="s">
        <v>569</v>
      </c>
      <c r="E167" s="264" t="s">
        <v>575</v>
      </c>
      <c r="F167" s="264" t="s">
        <v>575</v>
      </c>
    </row>
    <row r="168" spans="1:6">
      <c r="A168" s="5">
        <v>173</v>
      </c>
      <c r="C168" s="4" t="s">
        <v>481</v>
      </c>
      <c r="D168" s="1" t="s">
        <v>570</v>
      </c>
      <c r="E168" s="264" t="s">
        <v>1</v>
      </c>
      <c r="F168" s="264" t="s">
        <v>1</v>
      </c>
    </row>
    <row r="169" spans="1:6">
      <c r="A169" s="5">
        <v>174</v>
      </c>
      <c r="C169" s="4" t="s">
        <v>482</v>
      </c>
      <c r="D169" s="1" t="s">
        <v>571</v>
      </c>
      <c r="E169" s="264" t="s">
        <v>321</v>
      </c>
      <c r="F169" s="264" t="s">
        <v>321</v>
      </c>
    </row>
    <row r="170" spans="1:6">
      <c r="A170" s="5">
        <v>175</v>
      </c>
      <c r="C170" s="4" t="s">
        <v>483</v>
      </c>
      <c r="D170" s="1" t="s">
        <v>572</v>
      </c>
      <c r="E170" s="264" t="s">
        <v>4</v>
      </c>
      <c r="F170" s="264" t="s">
        <v>4</v>
      </c>
    </row>
    <row r="171" spans="1:6">
      <c r="A171" s="5">
        <v>176</v>
      </c>
      <c r="C171" s="4" t="s">
        <v>481</v>
      </c>
      <c r="D171" s="1" t="s">
        <v>570</v>
      </c>
      <c r="E171" s="264" t="s">
        <v>1</v>
      </c>
      <c r="F171" s="264" t="s">
        <v>1</v>
      </c>
    </row>
    <row r="172" spans="1:6">
      <c r="A172" s="5">
        <v>177</v>
      </c>
      <c r="C172" s="4" t="s">
        <v>484</v>
      </c>
      <c r="D172" s="1" t="s">
        <v>573</v>
      </c>
      <c r="E172" s="264" t="s">
        <v>648</v>
      </c>
      <c r="F172" s="264" t="s">
        <v>648</v>
      </c>
    </row>
    <row r="173" spans="1:6">
      <c r="A173" s="5">
        <v>178</v>
      </c>
      <c r="C173" s="4" t="s">
        <v>485</v>
      </c>
      <c r="D173" s="1" t="s">
        <v>574</v>
      </c>
      <c r="E173" s="264" t="s">
        <v>5</v>
      </c>
      <c r="F173" s="264" t="s">
        <v>5</v>
      </c>
    </row>
    <row r="174" spans="1:6">
      <c r="A174" s="5">
        <v>179</v>
      </c>
      <c r="C174" s="4" t="s">
        <v>1</v>
      </c>
      <c r="D174" s="1" t="s">
        <v>1</v>
      </c>
      <c r="E174" s="264" t="s">
        <v>1</v>
      </c>
      <c r="F174" s="264" t="s">
        <v>1</v>
      </c>
    </row>
    <row r="175" spans="1:6">
      <c r="A175" s="5">
        <v>180</v>
      </c>
      <c r="C175" s="4" t="s">
        <v>412</v>
      </c>
      <c r="D175" s="1" t="s">
        <v>322</v>
      </c>
      <c r="E175" s="264" t="s">
        <v>321</v>
      </c>
      <c r="F175" s="264" t="s">
        <v>321</v>
      </c>
    </row>
    <row r="176" spans="1:6">
      <c r="A176" s="5">
        <v>181</v>
      </c>
      <c r="C176" s="4" t="s">
        <v>486</v>
      </c>
      <c r="D176" s="1" t="s">
        <v>575</v>
      </c>
      <c r="E176" s="264" t="s">
        <v>323</v>
      </c>
      <c r="F176" s="264" t="s">
        <v>323</v>
      </c>
    </row>
    <row r="177" spans="1:6">
      <c r="A177" s="5">
        <v>182</v>
      </c>
      <c r="C177" s="4" t="s">
        <v>1</v>
      </c>
      <c r="D177" s="1" t="s">
        <v>1</v>
      </c>
      <c r="E177" s="264" t="s">
        <v>1</v>
      </c>
      <c r="F177" s="264" t="s">
        <v>1</v>
      </c>
    </row>
    <row r="178" spans="1:6">
      <c r="A178" s="5">
        <v>183</v>
      </c>
      <c r="C178" s="4" t="s">
        <v>411</v>
      </c>
      <c r="D178" s="1" t="s">
        <v>321</v>
      </c>
      <c r="E178" s="264" t="s">
        <v>648</v>
      </c>
      <c r="F178" s="264" t="s">
        <v>648</v>
      </c>
    </row>
    <row r="179" spans="1:6">
      <c r="A179" s="5">
        <v>184</v>
      </c>
      <c r="C179" s="4" t="s">
        <v>4</v>
      </c>
      <c r="D179" s="1" t="s">
        <v>4</v>
      </c>
      <c r="E179" s="264" t="s">
        <v>6</v>
      </c>
      <c r="F179" s="264" t="s">
        <v>6</v>
      </c>
    </row>
    <row r="180" spans="1:6">
      <c r="A180" s="5">
        <v>185</v>
      </c>
      <c r="C180" s="4" t="s">
        <v>1</v>
      </c>
      <c r="D180" s="1" t="s">
        <v>1</v>
      </c>
      <c r="E180" s="264" t="s">
        <v>1</v>
      </c>
      <c r="F180" s="264" t="s">
        <v>1</v>
      </c>
    </row>
    <row r="181" spans="1:6">
      <c r="A181" s="5">
        <v>186</v>
      </c>
      <c r="C181" s="4" t="s">
        <v>412</v>
      </c>
      <c r="D181" s="1" t="s">
        <v>322</v>
      </c>
      <c r="E181" s="264" t="s">
        <v>322</v>
      </c>
      <c r="F181" s="264" t="s">
        <v>322</v>
      </c>
    </row>
    <row r="182" spans="1:6">
      <c r="A182" s="5">
        <v>187</v>
      </c>
      <c r="C182" s="4" t="s">
        <v>5</v>
      </c>
      <c r="D182" s="1" t="s">
        <v>5</v>
      </c>
      <c r="E182" s="264" t="s">
        <v>324</v>
      </c>
      <c r="F182" s="264" t="s">
        <v>324</v>
      </c>
    </row>
    <row r="183" spans="1:6">
      <c r="A183" s="5">
        <v>188</v>
      </c>
      <c r="C183" s="4" t="s">
        <v>1</v>
      </c>
      <c r="D183" s="1" t="s">
        <v>1</v>
      </c>
      <c r="E183" s="264" t="s">
        <v>1</v>
      </c>
      <c r="F183" s="264" t="s">
        <v>1</v>
      </c>
    </row>
    <row r="184" spans="1:6">
      <c r="A184" s="5">
        <v>189</v>
      </c>
      <c r="C184" s="4" t="s">
        <v>411</v>
      </c>
      <c r="D184" s="1" t="s">
        <v>321</v>
      </c>
      <c r="E184" s="264" t="s">
        <v>322</v>
      </c>
      <c r="F184" s="264" t="s">
        <v>322</v>
      </c>
    </row>
    <row r="185" spans="1:6">
      <c r="A185" s="5">
        <v>190</v>
      </c>
      <c r="C185" s="4" t="s">
        <v>413</v>
      </c>
      <c r="D185" s="1" t="s">
        <v>323</v>
      </c>
      <c r="E185" s="264" t="s">
        <v>487</v>
      </c>
      <c r="F185" s="264" t="s">
        <v>487</v>
      </c>
    </row>
    <row r="186" spans="1:6">
      <c r="A186" s="5">
        <v>191</v>
      </c>
      <c r="C186" s="4" t="s">
        <v>1</v>
      </c>
      <c r="D186" s="1" t="s">
        <v>1</v>
      </c>
      <c r="E186" s="264" t="s">
        <v>1</v>
      </c>
      <c r="F186" s="264" t="s">
        <v>1</v>
      </c>
    </row>
    <row r="187" spans="1:6">
      <c r="A187" s="5">
        <v>192</v>
      </c>
      <c r="C187" s="4" t="s">
        <v>412</v>
      </c>
      <c r="D187" s="1" t="s">
        <v>322</v>
      </c>
      <c r="E187" s="264" t="s">
        <v>322</v>
      </c>
      <c r="F187" s="264" t="s">
        <v>322</v>
      </c>
    </row>
    <row r="188" spans="1:6">
      <c r="A188" s="5">
        <v>193</v>
      </c>
      <c r="C188" s="4" t="s">
        <v>6</v>
      </c>
      <c r="D188" s="1" t="s">
        <v>6</v>
      </c>
      <c r="E188" s="264" t="s">
        <v>488</v>
      </c>
      <c r="F188" s="264" t="s">
        <v>488</v>
      </c>
    </row>
    <row r="189" spans="1:6">
      <c r="A189" s="5">
        <v>194</v>
      </c>
      <c r="C189" s="4" t="s">
        <v>1</v>
      </c>
      <c r="D189" s="1" t="s">
        <v>1</v>
      </c>
      <c r="E189" s="264" t="s">
        <v>1</v>
      </c>
      <c r="F189" s="264" t="s">
        <v>1</v>
      </c>
    </row>
    <row r="190" spans="1:6">
      <c r="A190" s="5">
        <v>195</v>
      </c>
      <c r="C190" s="4" t="s">
        <v>412</v>
      </c>
      <c r="D190" s="1" t="s">
        <v>322</v>
      </c>
      <c r="E190" s="264" t="s">
        <v>280</v>
      </c>
      <c r="F190" s="264" t="s">
        <v>280</v>
      </c>
    </row>
    <row r="191" spans="1:6">
      <c r="A191" s="5">
        <v>196</v>
      </c>
      <c r="C191" s="4" t="s">
        <v>414</v>
      </c>
      <c r="D191" s="1" t="s">
        <v>324</v>
      </c>
      <c r="E191" s="264" t="s">
        <v>325</v>
      </c>
      <c r="F191" s="264" t="s">
        <v>325</v>
      </c>
    </row>
    <row r="192" spans="1:6">
      <c r="A192" s="5">
        <v>197</v>
      </c>
      <c r="C192" s="4" t="s">
        <v>1</v>
      </c>
      <c r="D192" s="1" t="s">
        <v>1</v>
      </c>
      <c r="E192" s="264" t="s">
        <v>1</v>
      </c>
      <c r="F192" s="264" t="s">
        <v>1</v>
      </c>
    </row>
    <row r="193" spans="1:6">
      <c r="A193" s="5">
        <v>198</v>
      </c>
      <c r="C193" s="4" t="s">
        <v>412</v>
      </c>
      <c r="D193" s="1" t="s">
        <v>322</v>
      </c>
      <c r="E193" s="264" t="s">
        <v>271</v>
      </c>
      <c r="F193" s="414" t="s">
        <v>322</v>
      </c>
    </row>
    <row r="194" spans="1:6">
      <c r="A194" s="5">
        <v>199</v>
      </c>
      <c r="C194" s="4" t="s">
        <v>487</v>
      </c>
      <c r="D194" s="1" t="s">
        <v>487</v>
      </c>
      <c r="E194" s="264" t="s">
        <v>326</v>
      </c>
      <c r="F194" s="414" t="s">
        <v>1458</v>
      </c>
    </row>
    <row r="195" spans="1:6">
      <c r="A195" s="5">
        <v>200</v>
      </c>
      <c r="C195" s="4" t="s">
        <v>1</v>
      </c>
      <c r="D195" s="1" t="s">
        <v>1</v>
      </c>
      <c r="E195" s="264" t="s">
        <v>1</v>
      </c>
      <c r="F195" s="264" t="s">
        <v>1</v>
      </c>
    </row>
    <row r="196" spans="1:6">
      <c r="A196" s="5">
        <v>201</v>
      </c>
      <c r="C196" s="4" t="s">
        <v>412</v>
      </c>
      <c r="D196" s="1" t="s">
        <v>322</v>
      </c>
      <c r="E196" s="264" t="s">
        <v>576</v>
      </c>
      <c r="F196" s="264" t="s">
        <v>271</v>
      </c>
    </row>
    <row r="197" spans="1:6">
      <c r="A197" s="5">
        <v>202</v>
      </c>
      <c r="C197" s="4" t="s">
        <v>488</v>
      </c>
      <c r="D197" s="1" t="s">
        <v>488</v>
      </c>
      <c r="E197" s="264" t="s">
        <v>577</v>
      </c>
      <c r="F197" s="264" t="s">
        <v>327</v>
      </c>
    </row>
    <row r="198" spans="1:6">
      <c r="A198" s="5">
        <v>203</v>
      </c>
      <c r="C198" s="4" t="s">
        <v>1</v>
      </c>
      <c r="D198" s="1" t="s">
        <v>1</v>
      </c>
      <c r="E198" s="264" t="s">
        <v>570</v>
      </c>
      <c r="F198" s="264" t="s">
        <v>1</v>
      </c>
    </row>
    <row r="199" spans="1:6">
      <c r="A199" s="5">
        <v>204</v>
      </c>
      <c r="C199" s="4" t="s">
        <v>403</v>
      </c>
      <c r="D199" s="1" t="s">
        <v>280</v>
      </c>
      <c r="E199" s="264" t="s">
        <v>625</v>
      </c>
      <c r="F199" s="414" t="s">
        <v>580</v>
      </c>
    </row>
    <row r="200" spans="1:6">
      <c r="A200" s="5">
        <v>205</v>
      </c>
      <c r="C200" s="4" t="s">
        <v>415</v>
      </c>
      <c r="D200" s="1" t="s">
        <v>325</v>
      </c>
      <c r="E200" s="264" t="s">
        <v>537</v>
      </c>
      <c r="F200" s="414" t="s">
        <v>537</v>
      </c>
    </row>
    <row r="201" spans="1:6">
      <c r="A201" s="5">
        <v>206</v>
      </c>
      <c r="C201" s="4" t="s">
        <v>1</v>
      </c>
      <c r="D201" s="1" t="s">
        <v>1</v>
      </c>
      <c r="E201" s="264" t="s">
        <v>570</v>
      </c>
      <c r="F201" s="264" t="s">
        <v>570</v>
      </c>
    </row>
    <row r="202" spans="1:6">
      <c r="A202" s="5">
        <v>207</v>
      </c>
      <c r="C202" s="4" t="s">
        <v>402</v>
      </c>
      <c r="D202" s="1" t="s">
        <v>271</v>
      </c>
      <c r="E202" s="264" t="s">
        <v>626</v>
      </c>
      <c r="F202" s="264" t="s">
        <v>627</v>
      </c>
    </row>
    <row r="203" spans="1:6">
      <c r="A203" s="5">
        <v>208</v>
      </c>
      <c r="C203" s="4" t="s">
        <v>416</v>
      </c>
      <c r="D203" s="1" t="s">
        <v>326</v>
      </c>
      <c r="E203" s="264" t="s">
        <v>537</v>
      </c>
      <c r="F203" s="264" t="s">
        <v>611</v>
      </c>
    </row>
    <row r="204" spans="1:6">
      <c r="A204" s="5">
        <v>209</v>
      </c>
      <c r="C204" s="4" t="s">
        <v>1</v>
      </c>
      <c r="D204" s="1" t="s">
        <v>1</v>
      </c>
      <c r="E204" s="264" t="s">
        <v>1</v>
      </c>
      <c r="F204" s="264" t="s">
        <v>1</v>
      </c>
    </row>
    <row r="205" spans="1:6">
      <c r="A205" s="5">
        <v>210</v>
      </c>
      <c r="C205" s="4" t="s">
        <v>489</v>
      </c>
      <c r="D205" s="1" t="s">
        <v>576</v>
      </c>
      <c r="E205" s="264" t="s">
        <v>271</v>
      </c>
      <c r="F205" s="264" t="s">
        <v>271</v>
      </c>
    </row>
    <row r="206" spans="1:6">
      <c r="A206" s="5">
        <v>211</v>
      </c>
      <c r="C206" s="4" t="s">
        <v>490</v>
      </c>
      <c r="D206" s="1" t="s">
        <v>577</v>
      </c>
      <c r="E206" s="264" t="s">
        <v>327</v>
      </c>
      <c r="F206" s="264" t="s">
        <v>1459</v>
      </c>
    </row>
    <row r="207" spans="1:6">
      <c r="A207" s="5">
        <v>212</v>
      </c>
      <c r="C207" s="4" t="s">
        <v>481</v>
      </c>
      <c r="D207" s="1" t="s">
        <v>570</v>
      </c>
      <c r="E207" s="264" t="s">
        <v>1</v>
      </c>
      <c r="F207" s="264" t="s">
        <v>1</v>
      </c>
    </row>
    <row r="208" spans="1:6">
      <c r="A208" s="5">
        <v>213</v>
      </c>
      <c r="C208" s="4" t="s">
        <v>491</v>
      </c>
      <c r="D208" s="1" t="s">
        <v>578</v>
      </c>
      <c r="E208" s="264" t="s">
        <v>580</v>
      </c>
      <c r="F208" s="414" t="s">
        <v>1460</v>
      </c>
    </row>
    <row r="209" spans="1:6">
      <c r="A209" s="5">
        <v>214</v>
      </c>
      <c r="C209" s="4" t="s">
        <v>465</v>
      </c>
      <c r="D209" s="1" t="s">
        <v>537</v>
      </c>
      <c r="E209" s="264" t="s">
        <v>537</v>
      </c>
      <c r="F209" s="414" t="s">
        <v>537</v>
      </c>
    </row>
    <row r="210" spans="1:6">
      <c r="A210" s="5">
        <v>215</v>
      </c>
      <c r="C210" s="4" t="s">
        <v>492</v>
      </c>
      <c r="D210" s="1" t="s">
        <v>492</v>
      </c>
      <c r="E210" s="264" t="s">
        <v>570</v>
      </c>
      <c r="F210" s="264" t="s">
        <v>570</v>
      </c>
    </row>
    <row r="211" spans="1:6">
      <c r="A211" s="5">
        <v>216</v>
      </c>
      <c r="C211" s="4" t="s">
        <v>493</v>
      </c>
      <c r="D211" s="1" t="s">
        <v>579</v>
      </c>
      <c r="E211" s="264" t="s">
        <v>627</v>
      </c>
      <c r="F211" s="414" t="s">
        <v>1461</v>
      </c>
    </row>
    <row r="212" spans="1:6">
      <c r="A212" s="5">
        <v>217</v>
      </c>
      <c r="C212" s="4" t="s">
        <v>465</v>
      </c>
      <c r="D212" s="1" t="s">
        <v>537</v>
      </c>
      <c r="E212" s="264" t="s">
        <v>611</v>
      </c>
      <c r="F212" s="414" t="s">
        <v>1462</v>
      </c>
    </row>
    <row r="213" spans="1:6">
      <c r="A213" s="5">
        <v>218</v>
      </c>
      <c r="C213" s="4" t="s">
        <v>1</v>
      </c>
      <c r="D213" s="1" t="s">
        <v>1</v>
      </c>
      <c r="E213" s="264" t="s">
        <v>1</v>
      </c>
      <c r="F213" s="264" t="s">
        <v>1</v>
      </c>
    </row>
    <row r="214" spans="1:6">
      <c r="A214" s="5">
        <v>219</v>
      </c>
      <c r="C214" s="4" t="s">
        <v>402</v>
      </c>
      <c r="D214" s="1" t="s">
        <v>271</v>
      </c>
      <c r="E214" s="264" t="s">
        <v>321</v>
      </c>
      <c r="F214" s="264" t="s">
        <v>321</v>
      </c>
    </row>
    <row r="215" spans="1:6">
      <c r="A215" s="5">
        <v>220</v>
      </c>
      <c r="C215" s="4" t="s">
        <v>417</v>
      </c>
      <c r="D215" s="1" t="s">
        <v>327</v>
      </c>
      <c r="E215" s="264" t="s">
        <v>7</v>
      </c>
      <c r="F215" s="264" t="s">
        <v>7</v>
      </c>
    </row>
    <row r="216" spans="1:6">
      <c r="A216" s="5">
        <v>221</v>
      </c>
      <c r="C216" s="4" t="s">
        <v>1</v>
      </c>
      <c r="D216" s="1" t="s">
        <v>1</v>
      </c>
      <c r="E216" s="264" t="s">
        <v>1</v>
      </c>
      <c r="F216" s="264" t="s">
        <v>1</v>
      </c>
    </row>
    <row r="217" spans="1:6">
      <c r="A217" s="5">
        <v>222</v>
      </c>
      <c r="C217" s="4" t="s">
        <v>494</v>
      </c>
      <c r="D217" s="1" t="s">
        <v>580</v>
      </c>
      <c r="E217" s="264" t="s">
        <v>322</v>
      </c>
      <c r="F217" s="264" t="s">
        <v>322</v>
      </c>
    </row>
    <row r="218" spans="1:6">
      <c r="A218" s="5">
        <v>223</v>
      </c>
      <c r="C218" s="4" t="s">
        <v>465</v>
      </c>
      <c r="D218" s="1" t="s">
        <v>537</v>
      </c>
      <c r="E218" s="264" t="s">
        <v>328</v>
      </c>
      <c r="F218" s="264" t="s">
        <v>328</v>
      </c>
    </row>
    <row r="219" spans="1:6">
      <c r="A219" s="5">
        <v>224</v>
      </c>
      <c r="C219" s="4" t="s">
        <v>466</v>
      </c>
      <c r="D219" s="1" t="s">
        <v>466</v>
      </c>
      <c r="E219" s="264" t="s">
        <v>1</v>
      </c>
      <c r="F219" s="264" t="s">
        <v>1</v>
      </c>
    </row>
    <row r="220" spans="1:6">
      <c r="A220" s="5">
        <v>225</v>
      </c>
      <c r="C220" s="4" t="s">
        <v>495</v>
      </c>
      <c r="D220" s="1" t="s">
        <v>581</v>
      </c>
      <c r="E220" s="264" t="s">
        <v>271</v>
      </c>
      <c r="F220" s="264" t="s">
        <v>271</v>
      </c>
    </row>
    <row r="221" spans="1:6">
      <c r="A221" s="5">
        <v>226</v>
      </c>
      <c r="C221" s="4" t="s">
        <v>496</v>
      </c>
      <c r="D221" s="1" t="s">
        <v>543</v>
      </c>
      <c r="E221" s="264" t="s">
        <v>329</v>
      </c>
      <c r="F221" s="264" t="s">
        <v>329</v>
      </c>
    </row>
    <row r="222" spans="1:6">
      <c r="A222" s="5">
        <v>227</v>
      </c>
      <c r="C222" s="4" t="s">
        <v>1</v>
      </c>
      <c r="D222" s="1" t="s">
        <v>1</v>
      </c>
      <c r="E222" s="264" t="s">
        <v>1</v>
      </c>
      <c r="F222" s="264" t="s">
        <v>1</v>
      </c>
    </row>
    <row r="223" spans="1:6">
      <c r="A223" s="5">
        <v>228</v>
      </c>
      <c r="C223" s="4" t="s">
        <v>411</v>
      </c>
      <c r="D223" s="1" t="s">
        <v>321</v>
      </c>
      <c r="E223" s="264" t="s">
        <v>582</v>
      </c>
      <c r="F223" s="264" t="s">
        <v>582</v>
      </c>
    </row>
    <row r="224" spans="1:6">
      <c r="A224" s="5">
        <v>229</v>
      </c>
      <c r="C224" s="4" t="s">
        <v>7</v>
      </c>
      <c r="D224" s="1" t="s">
        <v>7</v>
      </c>
      <c r="E224" s="264" t="s">
        <v>550</v>
      </c>
      <c r="F224" s="264" t="s">
        <v>550</v>
      </c>
    </row>
    <row r="225" spans="1:6">
      <c r="A225" s="5">
        <v>230</v>
      </c>
      <c r="C225" s="4" t="s">
        <v>1</v>
      </c>
      <c r="D225" s="1" t="s">
        <v>1</v>
      </c>
      <c r="E225" s="264" t="s">
        <v>570</v>
      </c>
      <c r="F225" s="264" t="s">
        <v>570</v>
      </c>
    </row>
    <row r="226" spans="1:6">
      <c r="A226" s="5">
        <v>231</v>
      </c>
      <c r="C226" s="4" t="s">
        <v>412</v>
      </c>
      <c r="D226" s="1" t="s">
        <v>322</v>
      </c>
      <c r="E226" s="264" t="s">
        <v>628</v>
      </c>
      <c r="F226" s="264" t="s">
        <v>628</v>
      </c>
    </row>
    <row r="227" spans="1:6">
      <c r="A227" s="5">
        <v>232</v>
      </c>
      <c r="C227" s="4" t="s">
        <v>418</v>
      </c>
      <c r="D227" s="1" t="s">
        <v>328</v>
      </c>
      <c r="E227" s="264" t="s">
        <v>611</v>
      </c>
      <c r="F227" s="264" t="s">
        <v>611</v>
      </c>
    </row>
    <row r="228" spans="1:6">
      <c r="A228" s="5">
        <v>233</v>
      </c>
      <c r="C228" s="4" t="s">
        <v>1</v>
      </c>
      <c r="D228" s="1" t="s">
        <v>1</v>
      </c>
      <c r="E228" s="264" t="s">
        <v>1</v>
      </c>
      <c r="F228" s="264" t="s">
        <v>1</v>
      </c>
    </row>
    <row r="229" spans="1:6">
      <c r="A229" s="5">
        <v>234</v>
      </c>
      <c r="C229" s="4" t="s">
        <v>402</v>
      </c>
      <c r="D229" s="1" t="s">
        <v>271</v>
      </c>
      <c r="E229" s="264" t="s">
        <v>271</v>
      </c>
      <c r="F229" s="264" t="s">
        <v>271</v>
      </c>
    </row>
    <row r="230" spans="1:6">
      <c r="A230" s="5">
        <v>235</v>
      </c>
      <c r="C230" s="4" t="s">
        <v>8</v>
      </c>
      <c r="D230" s="1" t="s">
        <v>329</v>
      </c>
      <c r="E230" s="264" t="s">
        <v>330</v>
      </c>
      <c r="F230" s="264" t="s">
        <v>330</v>
      </c>
    </row>
    <row r="231" spans="1:6">
      <c r="A231" s="5">
        <v>236</v>
      </c>
      <c r="C231" s="4" t="s">
        <v>1</v>
      </c>
      <c r="D231" s="1" t="s">
        <v>1</v>
      </c>
      <c r="E231" s="264" t="s">
        <v>1</v>
      </c>
      <c r="F231" s="264" t="s">
        <v>1</v>
      </c>
    </row>
    <row r="232" spans="1:6">
      <c r="A232" s="5">
        <v>237</v>
      </c>
      <c r="C232" s="4" t="s">
        <v>497</v>
      </c>
      <c r="D232" s="1" t="s">
        <v>582</v>
      </c>
      <c r="E232" s="264" t="s">
        <v>322</v>
      </c>
      <c r="F232" s="264" t="s">
        <v>322</v>
      </c>
    </row>
    <row r="233" spans="1:6">
      <c r="A233" s="5">
        <v>238</v>
      </c>
      <c r="C233" s="4" t="s">
        <v>498</v>
      </c>
      <c r="D233" s="1" t="s">
        <v>550</v>
      </c>
      <c r="E233" s="264" t="s">
        <v>9</v>
      </c>
      <c r="F233" s="264" t="s">
        <v>9</v>
      </c>
    </row>
    <row r="234" spans="1:6">
      <c r="A234" s="5">
        <v>239</v>
      </c>
      <c r="C234" s="4" t="s">
        <v>466</v>
      </c>
      <c r="D234" s="1" t="s">
        <v>466</v>
      </c>
      <c r="E234" s="264" t="s">
        <v>1</v>
      </c>
      <c r="F234" s="264" t="s">
        <v>1</v>
      </c>
    </row>
    <row r="235" spans="1:6">
      <c r="A235" s="5">
        <v>240</v>
      </c>
      <c r="C235" s="4" t="s">
        <v>499</v>
      </c>
      <c r="D235" s="1" t="s">
        <v>583</v>
      </c>
      <c r="E235" s="264" t="s">
        <v>271</v>
      </c>
      <c r="F235" s="264" t="s">
        <v>271</v>
      </c>
    </row>
    <row r="236" spans="1:6">
      <c r="A236" s="5">
        <v>241</v>
      </c>
      <c r="C236" s="4" t="s">
        <v>496</v>
      </c>
      <c r="D236" s="1" t="s">
        <v>543</v>
      </c>
      <c r="E236" s="264" t="s">
        <v>331</v>
      </c>
      <c r="F236" s="264" t="s">
        <v>331</v>
      </c>
    </row>
    <row r="237" spans="1:6">
      <c r="A237" s="5">
        <v>242</v>
      </c>
      <c r="C237" s="4" t="s">
        <v>1</v>
      </c>
      <c r="D237" s="1" t="s">
        <v>1</v>
      </c>
      <c r="E237" s="264" t="s">
        <v>1</v>
      </c>
      <c r="F237" s="264" t="s">
        <v>1</v>
      </c>
    </row>
    <row r="238" spans="1:6">
      <c r="A238" s="5">
        <v>243</v>
      </c>
      <c r="C238" s="4" t="s">
        <v>402</v>
      </c>
      <c r="D238" s="1" t="s">
        <v>271</v>
      </c>
      <c r="E238" s="264" t="s">
        <v>584</v>
      </c>
      <c r="F238" s="264" t="s">
        <v>584</v>
      </c>
    </row>
    <row r="239" spans="1:6">
      <c r="A239" s="5">
        <v>244</v>
      </c>
      <c r="C239" s="4" t="s">
        <v>419</v>
      </c>
      <c r="D239" s="1" t="s">
        <v>330</v>
      </c>
      <c r="E239" s="264" t="s">
        <v>577</v>
      </c>
      <c r="F239" s="264" t="s">
        <v>577</v>
      </c>
    </row>
    <row r="240" spans="1:6">
      <c r="A240" s="5">
        <v>245</v>
      </c>
      <c r="C240" s="4" t="s">
        <v>1</v>
      </c>
      <c r="D240" s="1" t="s">
        <v>1</v>
      </c>
      <c r="E240" s="264" t="s">
        <v>570</v>
      </c>
      <c r="F240" s="264" t="s">
        <v>570</v>
      </c>
    </row>
    <row r="241" spans="1:6">
      <c r="A241" s="5">
        <v>246</v>
      </c>
      <c r="C241" s="4" t="s">
        <v>412</v>
      </c>
      <c r="D241" s="1" t="s">
        <v>322</v>
      </c>
      <c r="E241" s="264" t="s">
        <v>629</v>
      </c>
      <c r="F241" s="264" t="s">
        <v>629</v>
      </c>
    </row>
    <row r="242" spans="1:6">
      <c r="A242" s="5">
        <v>247</v>
      </c>
      <c r="C242" s="4" t="s">
        <v>9</v>
      </c>
      <c r="D242" s="1" t="s">
        <v>9</v>
      </c>
      <c r="E242" s="264" t="s">
        <v>550</v>
      </c>
      <c r="F242" s="264" t="s">
        <v>550</v>
      </c>
    </row>
    <row r="243" spans="1:6">
      <c r="A243" s="5">
        <v>248</v>
      </c>
      <c r="C243" s="4" t="s">
        <v>1</v>
      </c>
      <c r="D243" s="1" t="s">
        <v>1</v>
      </c>
      <c r="E243" s="264" t="s">
        <v>570</v>
      </c>
      <c r="F243" s="264" t="s">
        <v>570</v>
      </c>
    </row>
    <row r="244" spans="1:6">
      <c r="A244" s="5">
        <v>249</v>
      </c>
      <c r="C244" s="4" t="s">
        <v>402</v>
      </c>
      <c r="D244" s="1" t="s">
        <v>271</v>
      </c>
      <c r="E244" s="264" t="s">
        <v>630</v>
      </c>
      <c r="F244" s="264" t="s">
        <v>630</v>
      </c>
    </row>
    <row r="245" spans="1:6">
      <c r="A245" s="5">
        <v>250</v>
      </c>
      <c r="C245" s="4" t="s">
        <v>420</v>
      </c>
      <c r="D245" s="1" t="s">
        <v>331</v>
      </c>
      <c r="E245" s="264" t="s">
        <v>537</v>
      </c>
      <c r="F245" s="264" t="s">
        <v>537</v>
      </c>
    </row>
    <row r="246" spans="1:6">
      <c r="A246" s="5">
        <v>251</v>
      </c>
      <c r="C246" s="4" t="s">
        <v>1</v>
      </c>
      <c r="D246" s="1" t="s">
        <v>1</v>
      </c>
      <c r="E246" s="264" t="s">
        <v>1</v>
      </c>
      <c r="F246" s="264" t="s">
        <v>1</v>
      </c>
    </row>
    <row r="247" spans="1:6">
      <c r="A247" s="5">
        <v>252</v>
      </c>
      <c r="C247" s="4" t="s">
        <v>500</v>
      </c>
      <c r="D247" s="1" t="s">
        <v>584</v>
      </c>
      <c r="E247" s="264" t="s">
        <v>280</v>
      </c>
      <c r="F247" s="264" t="s">
        <v>280</v>
      </c>
    </row>
    <row r="248" spans="1:6">
      <c r="A248" s="5">
        <v>253</v>
      </c>
      <c r="C248" s="4" t="s">
        <v>490</v>
      </c>
      <c r="D248" s="1" t="s">
        <v>577</v>
      </c>
      <c r="E248" s="264" t="s">
        <v>332</v>
      </c>
      <c r="F248" s="264" t="s">
        <v>332</v>
      </c>
    </row>
    <row r="249" spans="1:6">
      <c r="A249" s="5">
        <v>254</v>
      </c>
      <c r="C249" s="4" t="s">
        <v>481</v>
      </c>
      <c r="D249" s="1" t="s">
        <v>570</v>
      </c>
      <c r="E249" s="264" t="s">
        <v>1</v>
      </c>
      <c r="F249" s="264" t="s">
        <v>1</v>
      </c>
    </row>
    <row r="250" spans="1:6">
      <c r="A250" s="5">
        <v>255</v>
      </c>
      <c r="C250" s="4" t="s">
        <v>501</v>
      </c>
      <c r="D250" s="1" t="s">
        <v>585</v>
      </c>
      <c r="E250" s="264" t="s">
        <v>335</v>
      </c>
      <c r="F250" s="264" t="s">
        <v>335</v>
      </c>
    </row>
    <row r="251" spans="1:6">
      <c r="A251" s="5">
        <v>256</v>
      </c>
      <c r="C251" s="4" t="s">
        <v>498</v>
      </c>
      <c r="D251" s="1" t="s">
        <v>550</v>
      </c>
      <c r="E251" s="264" t="s">
        <v>336</v>
      </c>
      <c r="F251" s="264" t="s">
        <v>336</v>
      </c>
    </row>
    <row r="252" spans="1:6">
      <c r="A252" s="5">
        <v>257</v>
      </c>
      <c r="C252" s="4" t="s">
        <v>492</v>
      </c>
      <c r="D252" s="1" t="s">
        <v>492</v>
      </c>
      <c r="E252" s="264" t="s">
        <v>1</v>
      </c>
      <c r="F252" s="264" t="s">
        <v>1</v>
      </c>
    </row>
    <row r="253" spans="1:6">
      <c r="A253" s="5">
        <v>258</v>
      </c>
      <c r="C253" s="4" t="s">
        <v>502</v>
      </c>
      <c r="D253" s="1" t="s">
        <v>586</v>
      </c>
      <c r="E253" s="264" t="s">
        <v>631</v>
      </c>
      <c r="F253" s="264" t="s">
        <v>631</v>
      </c>
    </row>
    <row r="254" spans="1:6">
      <c r="A254" s="5">
        <v>259</v>
      </c>
      <c r="C254" s="4" t="s">
        <v>465</v>
      </c>
      <c r="D254" s="1" t="s">
        <v>537</v>
      </c>
      <c r="E254" s="1"/>
    </row>
    <row r="255" spans="1:6">
      <c r="A255" s="5">
        <v>260</v>
      </c>
      <c r="C255" s="4" t="s">
        <v>1</v>
      </c>
      <c r="D255" s="1" t="s">
        <v>1</v>
      </c>
      <c r="E255" s="1"/>
    </row>
    <row r="256" spans="1:6">
      <c r="A256" s="5">
        <v>261</v>
      </c>
      <c r="C256" s="4" t="s">
        <v>403</v>
      </c>
      <c r="D256" s="1" t="s">
        <v>280</v>
      </c>
      <c r="E256" s="1"/>
    </row>
    <row r="257" spans="1:5">
      <c r="A257" s="5">
        <v>262</v>
      </c>
      <c r="C257" s="4" t="s">
        <v>421</v>
      </c>
      <c r="D257" s="1" t="s">
        <v>332</v>
      </c>
      <c r="E257" s="1"/>
    </row>
    <row r="258" spans="1:5">
      <c r="A258" s="5">
        <v>263</v>
      </c>
      <c r="C258" s="4" t="s">
        <v>1</v>
      </c>
      <c r="D258" s="1" t="s">
        <v>1</v>
      </c>
      <c r="E258" s="1"/>
    </row>
    <row r="259" spans="1:5">
      <c r="A259" s="5">
        <v>264</v>
      </c>
      <c r="C259" s="4" t="s">
        <v>10</v>
      </c>
      <c r="D259" s="1" t="s">
        <v>333</v>
      </c>
      <c r="E259" s="1"/>
    </row>
    <row r="260" spans="1:5">
      <c r="A260" s="5">
        <v>265</v>
      </c>
      <c r="C260" s="4" t="s">
        <v>422</v>
      </c>
      <c r="D260" s="1" t="s">
        <v>334</v>
      </c>
      <c r="E260" s="1"/>
    </row>
    <row r="261" spans="1:5">
      <c r="A261" s="5">
        <v>266</v>
      </c>
      <c r="C261" s="4" t="s">
        <v>1</v>
      </c>
      <c r="D261" s="1" t="s">
        <v>1</v>
      </c>
      <c r="E261" s="1"/>
    </row>
    <row r="262" spans="1:5">
      <c r="A262" s="5">
        <v>267</v>
      </c>
      <c r="C262" s="4" t="s">
        <v>423</v>
      </c>
      <c r="D262" s="1" t="s">
        <v>335</v>
      </c>
      <c r="E262" s="1"/>
    </row>
    <row r="263" spans="1:5">
      <c r="A263" s="5">
        <v>268</v>
      </c>
      <c r="C263" s="4" t="s">
        <v>424</v>
      </c>
      <c r="D263" s="1" t="s">
        <v>336</v>
      </c>
      <c r="E263" s="1"/>
    </row>
    <row r="264" spans="1:5">
      <c r="A264" s="5">
        <v>269</v>
      </c>
      <c r="C264" s="4" t="s">
        <v>1</v>
      </c>
      <c r="D264" s="1" t="s">
        <v>1</v>
      </c>
      <c r="E264" s="1"/>
    </row>
    <row r="265" spans="1:5">
      <c r="E265" s="1"/>
    </row>
  </sheetData>
  <mergeCells count="77">
    <mergeCell ref="B111:C111"/>
    <mergeCell ref="B112:B116"/>
    <mergeCell ref="C112:C113"/>
    <mergeCell ref="C115:C116"/>
    <mergeCell ref="B102:C102"/>
    <mergeCell ref="B103:C104"/>
    <mergeCell ref="B105:C105"/>
    <mergeCell ref="B106:C107"/>
    <mergeCell ref="B108:C108"/>
    <mergeCell ref="B109:C110"/>
    <mergeCell ref="B100:C101"/>
    <mergeCell ref="B84:C84"/>
    <mergeCell ref="B85:C86"/>
    <mergeCell ref="B87:C87"/>
    <mergeCell ref="B88:C89"/>
    <mergeCell ref="B90:C90"/>
    <mergeCell ref="B91:C92"/>
    <mergeCell ref="B93:C93"/>
    <mergeCell ref="B94:C95"/>
    <mergeCell ref="B96:C96"/>
    <mergeCell ref="B97:C98"/>
    <mergeCell ref="B99:C99"/>
    <mergeCell ref="B82:C83"/>
    <mergeCell ref="B66:C66"/>
    <mergeCell ref="B67:C68"/>
    <mergeCell ref="B69:C69"/>
    <mergeCell ref="B70:C71"/>
    <mergeCell ref="B72:C72"/>
    <mergeCell ref="B73:C74"/>
    <mergeCell ref="B75:C75"/>
    <mergeCell ref="B76:C77"/>
    <mergeCell ref="B78:C78"/>
    <mergeCell ref="B79:C80"/>
    <mergeCell ref="B81:C81"/>
    <mergeCell ref="B64:C65"/>
    <mergeCell ref="B48:C48"/>
    <mergeCell ref="B49:C50"/>
    <mergeCell ref="B51:C51"/>
    <mergeCell ref="B52:C53"/>
    <mergeCell ref="B54:C54"/>
    <mergeCell ref="B55:C56"/>
    <mergeCell ref="B57:C57"/>
    <mergeCell ref="B58:C59"/>
    <mergeCell ref="B60:C60"/>
    <mergeCell ref="B61:C62"/>
    <mergeCell ref="B63:C63"/>
    <mergeCell ref="B37:C38"/>
    <mergeCell ref="B39:C39"/>
    <mergeCell ref="B40:C41"/>
    <mergeCell ref="B42:C42"/>
    <mergeCell ref="B43:B47"/>
    <mergeCell ref="C43:C44"/>
    <mergeCell ref="C46:C47"/>
    <mergeCell ref="B36:C36"/>
    <mergeCell ref="C19:C20"/>
    <mergeCell ref="B21:C21"/>
    <mergeCell ref="B22:B26"/>
    <mergeCell ref="C22:C23"/>
    <mergeCell ref="C25:C26"/>
    <mergeCell ref="B27:C27"/>
    <mergeCell ref="B28:C29"/>
    <mergeCell ref="B30:C30"/>
    <mergeCell ref="B31:C32"/>
    <mergeCell ref="B33:C33"/>
    <mergeCell ref="B34:C35"/>
    <mergeCell ref="B18:C18"/>
    <mergeCell ref="B1:C2"/>
    <mergeCell ref="B3:C3"/>
    <mergeCell ref="B4:B8"/>
    <mergeCell ref="C4:C5"/>
    <mergeCell ref="C7:C8"/>
    <mergeCell ref="B9:C9"/>
    <mergeCell ref="B10:C11"/>
    <mergeCell ref="B12:C12"/>
    <mergeCell ref="B13:B17"/>
    <mergeCell ref="C13:C14"/>
    <mergeCell ref="C16:C1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86</v>
      </c>
      <c r="D1" s="2">
        <v>156</v>
      </c>
    </row>
    <row r="2" spans="1:15">
      <c r="D2" s="2">
        <f>D1+1</f>
        <v>157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39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53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5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14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41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29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2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13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17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15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11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7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6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14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2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9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41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16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0.7192982456140351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29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0.70731707317073167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0.75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8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0.44444444444444442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9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7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0.5625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5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0.2857142857142857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87</v>
      </c>
      <c r="D1" s="2">
        <v>51</v>
      </c>
    </row>
    <row r="2" spans="1:15">
      <c r="D2" s="2">
        <v>52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23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25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5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19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23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6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14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15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8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19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0.79166666666666663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23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0.7931034482758621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8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7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0.63636363636363635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0.2857142857142857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26</v>
      </c>
      <c r="D1" s="2">
        <v>141</v>
      </c>
    </row>
    <row r="2" spans="1:15">
      <c r="D2" s="2">
        <f>D1+1</f>
        <v>142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76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91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10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1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31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43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4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2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1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4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48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48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24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14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26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2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31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13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8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48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36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0.5714285714285714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48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0.54545454545454541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13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0.56521739130434778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8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0.42105263157894735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0.5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5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0.7142857142857143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13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16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0.44827586206896552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17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19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0.47222222222222221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3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8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0.27272727272727271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8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K6" sqref="K6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27</v>
      </c>
      <c r="D1" s="2">
        <v>219</v>
      </c>
    </row>
    <row r="2" spans="1:15">
      <c r="D2" s="2">
        <f>D1+1</f>
        <v>220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45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54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8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9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15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15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4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48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31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18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19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24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6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16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48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0.96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31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8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0.79487179487179482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0.76923076923076927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8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0.88888888888888884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16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0.76190476190476186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17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0.94444444444444442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0.33333333333333331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88</v>
      </c>
      <c r="D1" s="2">
        <v>21</v>
      </c>
    </row>
    <row r="2" spans="1:15">
      <c r="D2" s="2">
        <v>22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11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11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0.875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29</v>
      </c>
      <c r="D1" s="2">
        <v>222</v>
      </c>
    </row>
    <row r="2" spans="1:15">
      <c r="D2" s="2">
        <f>D1+1</f>
        <v>223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31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24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7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8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4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17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21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9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8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14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12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13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6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5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17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0.80952380952380953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21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0.80769230769230771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6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5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0.33333333333333331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89</v>
      </c>
      <c r="D1" s="2">
        <v>228</v>
      </c>
    </row>
    <row r="2" spans="1:15">
      <c r="D2" s="2">
        <f>D1+1</f>
        <v>229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9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27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12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10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9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8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12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7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0.77777777777777779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90</v>
      </c>
      <c r="D1" s="2">
        <v>162</v>
      </c>
    </row>
    <row r="2" spans="1:15">
      <c r="D2" s="2">
        <f>D1+1</f>
        <v>163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9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0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0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0.88888888888888884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1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30</v>
      </c>
      <c r="D1" s="2">
        <v>234</v>
      </c>
    </row>
    <row r="2" spans="1:15">
      <c r="D2" s="2">
        <f>D1+1</f>
        <v>235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152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119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19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18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3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46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4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7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7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8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79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9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57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68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3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65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60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55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37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15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0.66153846153846152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79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36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0.68695652173913047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15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0.83333333333333337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0.8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6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4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6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17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27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0.38636363636363635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28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0.5714285714285714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0.16666666666666666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91</v>
      </c>
      <c r="D1" s="2">
        <v>30</v>
      </c>
    </row>
    <row r="2" spans="1:15">
      <c r="D2" s="2">
        <v>31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15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3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6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8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6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63"/>
  <sheetViews>
    <sheetView workbookViewId="0">
      <selection activeCell="C6" sqref="C6"/>
    </sheetView>
  </sheetViews>
  <sheetFormatPr defaultRowHeight="15"/>
  <cols>
    <col min="1" max="1" width="9.140625" style="1"/>
    <col min="2" max="2" width="46.85546875" customWidth="1"/>
    <col min="4" max="4" width="19.5703125" style="178" customWidth="1"/>
    <col min="6" max="6" width="3" bestFit="1" customWidth="1"/>
    <col min="9" max="9" width="17.85546875" customWidth="1"/>
  </cols>
  <sheetData>
    <row r="1" spans="1:12" s="1" customFormat="1">
      <c r="A1" s="1">
        <v>200</v>
      </c>
      <c r="B1" s="12" t="s">
        <v>116</v>
      </c>
      <c r="C1" s="12">
        <v>400</v>
      </c>
      <c r="D1" s="5">
        <v>2852</v>
      </c>
      <c r="E1" s="179" t="s">
        <v>18</v>
      </c>
      <c r="F1" s="13" t="s">
        <v>56</v>
      </c>
      <c r="G1" s="19" t="s">
        <v>178</v>
      </c>
      <c r="I1" s="15" t="s">
        <v>40</v>
      </c>
      <c r="J1" s="16">
        <v>2019</v>
      </c>
    </row>
    <row r="2" spans="1:12" s="1" customFormat="1" ht="15.75" thickBot="1">
      <c r="B2" s="12" t="s">
        <v>117</v>
      </c>
      <c r="C2" s="12">
        <v>300</v>
      </c>
      <c r="D2" s="5">
        <v>1036</v>
      </c>
      <c r="E2" s="179" t="s">
        <v>19</v>
      </c>
      <c r="F2" s="13" t="s">
        <v>57</v>
      </c>
      <c r="G2" s="19" t="s">
        <v>179</v>
      </c>
      <c r="I2" s="17" t="s">
        <v>41</v>
      </c>
      <c r="J2" s="18">
        <v>2018</v>
      </c>
    </row>
    <row r="3" spans="1:12">
      <c r="B3" s="4" t="s">
        <v>68</v>
      </c>
      <c r="C3" s="5">
        <v>101</v>
      </c>
      <c r="D3" s="5">
        <v>68</v>
      </c>
      <c r="E3" s="179" t="s">
        <v>20</v>
      </c>
      <c r="F3" s="13" t="s">
        <v>58</v>
      </c>
      <c r="G3" s="1" t="s">
        <v>180</v>
      </c>
      <c r="H3" s="1"/>
      <c r="I3" s="1"/>
      <c r="J3" s="1"/>
      <c r="K3" s="1"/>
      <c r="L3" s="1"/>
    </row>
    <row r="4" spans="1:12">
      <c r="B4" s="4" t="s">
        <v>69</v>
      </c>
      <c r="C4" s="5">
        <v>102</v>
      </c>
      <c r="D4" s="5">
        <v>174</v>
      </c>
      <c r="E4" s="179" t="s">
        <v>47</v>
      </c>
      <c r="F4" s="13" t="s">
        <v>59</v>
      </c>
      <c r="G4" s="65" t="s">
        <v>181</v>
      </c>
      <c r="H4" s="1"/>
      <c r="I4" s="1"/>
      <c r="J4" s="1"/>
      <c r="K4" s="1"/>
      <c r="L4" s="1"/>
    </row>
    <row r="5" spans="1:12">
      <c r="B5" s="4" t="s">
        <v>70</v>
      </c>
      <c r="C5" s="5">
        <v>103</v>
      </c>
      <c r="D5" s="5">
        <v>115</v>
      </c>
      <c r="E5" s="179" t="s">
        <v>48</v>
      </c>
      <c r="F5" s="13" t="s">
        <v>60</v>
      </c>
      <c r="G5" s="65" t="s">
        <v>182</v>
      </c>
      <c r="H5" s="1"/>
      <c r="I5" s="1"/>
      <c r="J5" s="1"/>
      <c r="K5" s="1"/>
      <c r="L5" s="1"/>
    </row>
    <row r="6" spans="1:12">
      <c r="B6" s="4" t="s">
        <v>71</v>
      </c>
      <c r="C6" s="5">
        <v>104</v>
      </c>
      <c r="D6" s="5">
        <v>147</v>
      </c>
      <c r="E6" s="179" t="s">
        <v>49</v>
      </c>
      <c r="F6" s="13" t="s">
        <v>61</v>
      </c>
      <c r="G6" s="65" t="s">
        <v>183</v>
      </c>
      <c r="H6" s="1"/>
      <c r="I6" s="1"/>
      <c r="J6" s="1"/>
      <c r="K6" s="1"/>
      <c r="L6" s="1"/>
    </row>
    <row r="7" spans="1:12">
      <c r="B7" s="4" t="s">
        <v>72</v>
      </c>
      <c r="C7" s="5">
        <v>105</v>
      </c>
      <c r="D7" s="5">
        <v>311</v>
      </c>
      <c r="E7" s="179" t="s">
        <v>50</v>
      </c>
      <c r="F7" s="13" t="s">
        <v>62</v>
      </c>
      <c r="G7" s="65" t="s">
        <v>184</v>
      </c>
      <c r="H7" s="1"/>
      <c r="I7" s="1"/>
      <c r="J7" s="1"/>
      <c r="K7" s="1"/>
      <c r="L7" s="1"/>
    </row>
    <row r="8" spans="1:12">
      <c r="B8" s="4" t="s">
        <v>73</v>
      </c>
      <c r="C8" s="5">
        <v>106</v>
      </c>
      <c r="D8" s="5">
        <v>139</v>
      </c>
      <c r="E8" s="179" t="s">
        <v>51</v>
      </c>
      <c r="F8" s="13" t="s">
        <v>63</v>
      </c>
      <c r="G8" s="65" t="s">
        <v>185</v>
      </c>
      <c r="H8" s="1"/>
      <c r="I8" s="1"/>
      <c r="J8" s="1"/>
      <c r="K8" s="1"/>
      <c r="L8" s="1"/>
    </row>
    <row r="9" spans="1:12">
      <c r="B9" s="4" t="s">
        <v>74</v>
      </c>
      <c r="C9" s="5">
        <v>107</v>
      </c>
      <c r="D9" s="5">
        <v>96</v>
      </c>
      <c r="E9" s="179" t="s">
        <v>52</v>
      </c>
      <c r="F9" s="13" t="s">
        <v>64</v>
      </c>
      <c r="G9" s="65" t="s">
        <v>186</v>
      </c>
      <c r="H9" s="1"/>
      <c r="I9" s="1"/>
      <c r="J9" s="1"/>
      <c r="K9" s="1"/>
      <c r="L9" s="1"/>
    </row>
    <row r="10" spans="1:12">
      <c r="B10" s="4" t="s">
        <v>75</v>
      </c>
      <c r="C10" s="5">
        <v>112</v>
      </c>
      <c r="D10" s="5"/>
      <c r="E10" s="179" t="s">
        <v>53</v>
      </c>
      <c r="F10" s="13" t="s">
        <v>65</v>
      </c>
      <c r="G10" s="65" t="s">
        <v>187</v>
      </c>
      <c r="H10" s="1"/>
      <c r="I10" s="1"/>
      <c r="J10" s="1"/>
      <c r="K10" s="1"/>
      <c r="L10" s="1"/>
    </row>
    <row r="11" spans="1:12">
      <c r="B11" s="4" t="s">
        <v>76</v>
      </c>
      <c r="C11" s="5">
        <v>201</v>
      </c>
      <c r="D11" s="180">
        <v>21</v>
      </c>
      <c r="E11" s="179" t="s">
        <v>54</v>
      </c>
      <c r="F11" s="13" t="s">
        <v>66</v>
      </c>
      <c r="G11" s="65" t="s">
        <v>188</v>
      </c>
      <c r="H11" s="1"/>
      <c r="I11" s="1"/>
      <c r="J11" s="1"/>
      <c r="K11" s="1"/>
      <c r="L11" s="1"/>
    </row>
    <row r="12" spans="1:12">
      <c r="B12" s="4" t="s">
        <v>77</v>
      </c>
      <c r="C12" s="5">
        <v>202</v>
      </c>
      <c r="D12" s="180">
        <v>124</v>
      </c>
      <c r="E12" s="179" t="s">
        <v>55</v>
      </c>
      <c r="F12" s="13" t="s">
        <v>67</v>
      </c>
      <c r="G12" s="65" t="s">
        <v>189</v>
      </c>
      <c r="H12" s="1"/>
      <c r="I12" s="1"/>
      <c r="J12" s="1"/>
      <c r="K12" s="1"/>
      <c r="L12" s="1"/>
    </row>
    <row r="13" spans="1:12">
      <c r="B13" s="4" t="s">
        <v>78</v>
      </c>
      <c r="C13" s="5">
        <v>203</v>
      </c>
      <c r="D13" s="180">
        <v>20</v>
      </c>
      <c r="E13" s="1"/>
      <c r="F13" s="1"/>
      <c r="G13" s="1"/>
      <c r="H13" s="1"/>
      <c r="I13" s="1"/>
      <c r="J13" s="1"/>
      <c r="K13" s="1"/>
      <c r="L13" s="1"/>
    </row>
    <row r="14" spans="1:12">
      <c r="B14" s="4" t="s">
        <v>79</v>
      </c>
      <c r="C14" s="5">
        <v>249</v>
      </c>
      <c r="D14" s="180">
        <v>39</v>
      </c>
      <c r="E14" s="1"/>
      <c r="F14" s="1"/>
      <c r="G14" s="1"/>
      <c r="H14" s="1"/>
      <c r="I14" s="1"/>
      <c r="J14" s="1"/>
      <c r="K14" s="1"/>
      <c r="L14" s="1"/>
    </row>
    <row r="15" spans="1:12">
      <c r="B15" s="4" t="s">
        <v>400</v>
      </c>
      <c r="C15" s="5">
        <v>204</v>
      </c>
      <c r="D15" s="180">
        <v>10</v>
      </c>
      <c r="E15" s="1"/>
      <c r="F15" s="1"/>
      <c r="G15" s="1"/>
      <c r="H15" s="1"/>
      <c r="I15" s="1"/>
      <c r="J15" s="1"/>
      <c r="K15" s="1"/>
      <c r="L15" s="1"/>
    </row>
    <row r="16" spans="1:12">
      <c r="B16" s="4" t="s">
        <v>80</v>
      </c>
      <c r="C16" s="5">
        <v>207</v>
      </c>
      <c r="D16" s="180">
        <v>19</v>
      </c>
      <c r="E16" s="1"/>
      <c r="F16" s="1"/>
      <c r="G16" s="1"/>
      <c r="H16" s="1"/>
      <c r="I16" s="1"/>
      <c r="J16" s="1"/>
      <c r="K16" s="1"/>
      <c r="L16" s="1"/>
    </row>
    <row r="17" spans="2:12">
      <c r="B17" s="4" t="s">
        <v>81</v>
      </c>
      <c r="C17" s="5">
        <v>205</v>
      </c>
      <c r="D17" s="180">
        <v>31</v>
      </c>
      <c r="E17" s="1"/>
      <c r="F17" s="1"/>
      <c r="G17" s="1"/>
      <c r="H17" s="1"/>
      <c r="I17" s="1"/>
      <c r="J17" s="1"/>
      <c r="K17" s="1"/>
      <c r="L17" s="1"/>
    </row>
    <row r="18" spans="2:12">
      <c r="B18" s="4" t="s">
        <v>82</v>
      </c>
      <c r="C18" s="5">
        <v>206</v>
      </c>
      <c r="D18" s="180">
        <v>46</v>
      </c>
      <c r="E18" s="1"/>
      <c r="F18" s="1"/>
      <c r="G18" s="1"/>
      <c r="H18" s="1"/>
      <c r="I18" s="1"/>
      <c r="J18" s="1"/>
      <c r="K18" s="1"/>
      <c r="L18" s="1"/>
    </row>
    <row r="19" spans="2:12">
      <c r="B19" s="4" t="s">
        <v>24</v>
      </c>
      <c r="C19" s="5">
        <v>250</v>
      </c>
      <c r="D19" s="180">
        <v>17</v>
      </c>
      <c r="E19" s="1"/>
      <c r="F19" s="1"/>
      <c r="G19" s="1"/>
      <c r="H19" s="1"/>
      <c r="I19" s="1"/>
      <c r="J19" s="1"/>
      <c r="K19" s="1"/>
      <c r="L19" s="1"/>
    </row>
    <row r="20" spans="2:12">
      <c r="B20" s="4" t="s">
        <v>83</v>
      </c>
      <c r="C20" s="5">
        <v>208</v>
      </c>
      <c r="D20" s="180">
        <v>8</v>
      </c>
      <c r="E20" s="1"/>
      <c r="F20" s="1"/>
      <c r="G20" s="1"/>
      <c r="H20" s="1"/>
      <c r="I20" s="1"/>
      <c r="J20" s="1"/>
      <c r="K20" s="1"/>
      <c r="L20" s="1"/>
    </row>
    <row r="21" spans="2:12">
      <c r="B21" s="4" t="s">
        <v>84</v>
      </c>
      <c r="C21" s="5">
        <v>209</v>
      </c>
      <c r="D21" s="180">
        <v>14</v>
      </c>
      <c r="E21" s="1"/>
      <c r="F21" s="1"/>
      <c r="G21" s="1"/>
      <c r="H21" s="1"/>
      <c r="I21" s="1"/>
      <c r="J21" s="1"/>
      <c r="K21" s="1"/>
      <c r="L21" s="1"/>
    </row>
    <row r="22" spans="2:12">
      <c r="B22" s="4" t="s">
        <v>25</v>
      </c>
      <c r="C22" s="5">
        <v>210</v>
      </c>
      <c r="D22" s="180">
        <v>33</v>
      </c>
      <c r="E22" s="1"/>
      <c r="F22" s="1"/>
      <c r="G22" s="1"/>
      <c r="H22" s="1"/>
      <c r="I22" s="1"/>
      <c r="J22" s="1"/>
      <c r="K22" s="1"/>
      <c r="L22" s="1"/>
    </row>
    <row r="23" spans="2:12">
      <c r="B23" s="4" t="s">
        <v>85</v>
      </c>
      <c r="C23" s="5">
        <v>211</v>
      </c>
      <c r="D23" s="180">
        <v>53</v>
      </c>
      <c r="E23" s="1"/>
      <c r="F23" s="1"/>
      <c r="G23" s="1"/>
      <c r="H23" s="1"/>
      <c r="I23" s="1"/>
      <c r="J23" s="1"/>
      <c r="K23" s="1"/>
      <c r="L23" s="1"/>
    </row>
    <row r="24" spans="2:12">
      <c r="B24" s="4" t="s">
        <v>86</v>
      </c>
      <c r="C24" s="5">
        <v>212</v>
      </c>
      <c r="D24" s="180">
        <v>43</v>
      </c>
      <c r="E24" s="1"/>
      <c r="F24" s="1"/>
      <c r="G24" s="1"/>
      <c r="H24" s="1"/>
      <c r="I24" s="1"/>
      <c r="J24" s="1"/>
      <c r="K24" s="1"/>
      <c r="L24" s="1"/>
    </row>
    <row r="25" spans="2:12">
      <c r="B25" s="4" t="s">
        <v>87</v>
      </c>
      <c r="C25" s="5">
        <v>213</v>
      </c>
      <c r="D25" s="180">
        <v>20</v>
      </c>
      <c r="E25" s="1"/>
      <c r="F25" s="1"/>
      <c r="G25" s="1"/>
      <c r="H25" s="1"/>
      <c r="I25" s="1"/>
      <c r="J25" s="1"/>
      <c r="K25" s="1"/>
      <c r="L25" s="1"/>
    </row>
    <row r="26" spans="2:12">
      <c r="B26" s="4" t="s">
        <v>26</v>
      </c>
      <c r="C26" s="5">
        <v>83</v>
      </c>
      <c r="D26" s="180">
        <v>94</v>
      </c>
      <c r="E26" s="1"/>
      <c r="F26" s="1"/>
      <c r="G26" s="1"/>
      <c r="H26" s="1"/>
      <c r="I26" s="1"/>
      <c r="J26" s="1"/>
      <c r="K26" s="1"/>
      <c r="L26" s="1"/>
    </row>
    <row r="27" spans="2:12">
      <c r="B27" s="4" t="s">
        <v>27</v>
      </c>
      <c r="C27" s="5">
        <v>66</v>
      </c>
      <c r="D27" s="180">
        <v>64</v>
      </c>
    </row>
    <row r="28" spans="2:12">
      <c r="B28" s="4" t="s">
        <v>28</v>
      </c>
      <c r="C28" s="5">
        <v>214</v>
      </c>
      <c r="D28" s="180">
        <v>7</v>
      </c>
    </row>
    <row r="29" spans="2:12">
      <c r="B29" s="4" t="s">
        <v>88</v>
      </c>
      <c r="C29" s="5">
        <v>215</v>
      </c>
      <c r="D29" s="180">
        <v>12</v>
      </c>
    </row>
    <row r="30" spans="2:12">
      <c r="B30" s="4" t="s">
        <v>401</v>
      </c>
      <c r="C30" s="5">
        <v>216</v>
      </c>
      <c r="D30" s="180">
        <v>25</v>
      </c>
    </row>
    <row r="31" spans="2:12">
      <c r="B31" s="4" t="s">
        <v>89</v>
      </c>
      <c r="C31" s="5">
        <v>217</v>
      </c>
      <c r="D31" s="180">
        <v>16</v>
      </c>
    </row>
    <row r="32" spans="2:12">
      <c r="B32" s="4" t="s">
        <v>90</v>
      </c>
      <c r="C32" s="5">
        <v>218</v>
      </c>
      <c r="D32" s="180">
        <v>10</v>
      </c>
    </row>
    <row r="33" spans="2:4">
      <c r="B33" s="4" t="s">
        <v>30</v>
      </c>
      <c r="C33" s="5">
        <v>219</v>
      </c>
      <c r="D33" s="180">
        <v>118</v>
      </c>
    </row>
    <row r="34" spans="2:4">
      <c r="B34" s="4" t="s">
        <v>91</v>
      </c>
      <c r="C34" s="5">
        <v>220</v>
      </c>
      <c r="D34" s="180">
        <v>16</v>
      </c>
    </row>
    <row r="35" spans="2:4">
      <c r="B35" s="4" t="s">
        <v>92</v>
      </c>
      <c r="C35" s="5">
        <v>221</v>
      </c>
      <c r="D35" s="180">
        <v>21</v>
      </c>
    </row>
    <row r="36" spans="2:4">
      <c r="B36" s="4" t="s">
        <v>93</v>
      </c>
      <c r="C36" s="5">
        <v>222</v>
      </c>
      <c r="D36" s="180">
        <v>17</v>
      </c>
    </row>
    <row r="37" spans="2:4">
      <c r="B37" s="4" t="s">
        <v>94</v>
      </c>
      <c r="C37" s="5">
        <v>223</v>
      </c>
      <c r="D37" s="180">
        <v>15</v>
      </c>
    </row>
    <row r="38" spans="2:4">
      <c r="B38" s="4" t="s">
        <v>95</v>
      </c>
      <c r="C38" s="5">
        <v>224</v>
      </c>
      <c r="D38" s="180">
        <v>47</v>
      </c>
    </row>
    <row r="39" spans="2:4">
      <c r="B39" s="4" t="s">
        <v>31</v>
      </c>
      <c r="C39" s="5">
        <v>245</v>
      </c>
      <c r="D39" s="180">
        <v>65</v>
      </c>
    </row>
    <row r="40" spans="2:4">
      <c r="B40" s="4" t="s">
        <v>96</v>
      </c>
      <c r="C40" s="5">
        <v>225</v>
      </c>
      <c r="D40" s="180">
        <v>16</v>
      </c>
    </row>
    <row r="41" spans="2:4">
      <c r="B41" s="4" t="s">
        <v>32</v>
      </c>
      <c r="C41" s="5">
        <v>226</v>
      </c>
      <c r="D41" s="180">
        <v>98</v>
      </c>
    </row>
    <row r="42" spans="2:4">
      <c r="B42" s="4" t="s">
        <v>97</v>
      </c>
      <c r="C42" s="5">
        <v>227</v>
      </c>
      <c r="D42" s="180">
        <v>15</v>
      </c>
    </row>
    <row r="43" spans="2:4">
      <c r="B43" s="4" t="s">
        <v>98</v>
      </c>
      <c r="C43" s="5">
        <v>228</v>
      </c>
      <c r="D43" s="180">
        <v>74</v>
      </c>
    </row>
    <row r="44" spans="2:4">
      <c r="B44" s="4" t="s">
        <v>99</v>
      </c>
      <c r="C44" s="5">
        <v>229</v>
      </c>
      <c r="D44" s="180">
        <v>31</v>
      </c>
    </row>
    <row r="45" spans="2:4">
      <c r="B45" s="4" t="s">
        <v>100</v>
      </c>
      <c r="C45" s="5">
        <v>230</v>
      </c>
      <c r="D45" s="180">
        <v>13</v>
      </c>
    </row>
    <row r="46" spans="2:4">
      <c r="B46" s="4" t="s">
        <v>33</v>
      </c>
      <c r="C46" s="5">
        <v>231</v>
      </c>
      <c r="D46" s="180">
        <v>177</v>
      </c>
    </row>
    <row r="47" spans="2:4">
      <c r="B47" s="4" t="s">
        <v>101</v>
      </c>
      <c r="C47" s="5">
        <v>232</v>
      </c>
      <c r="D47" s="180">
        <v>10</v>
      </c>
    </row>
    <row r="48" spans="2:4">
      <c r="B48" s="4" t="s">
        <v>102</v>
      </c>
      <c r="C48" s="5">
        <v>233</v>
      </c>
      <c r="D48" s="180">
        <v>7</v>
      </c>
    </row>
    <row r="49" spans="2:4">
      <c r="B49" s="4" t="s">
        <v>103</v>
      </c>
      <c r="C49" s="5">
        <v>234</v>
      </c>
      <c r="D49" s="180">
        <v>31</v>
      </c>
    </row>
    <row r="50" spans="2:4">
      <c r="B50" s="4" t="s">
        <v>104</v>
      </c>
      <c r="C50" s="5">
        <v>235</v>
      </c>
      <c r="D50" s="180">
        <v>11</v>
      </c>
    </row>
    <row r="51" spans="2:4">
      <c r="B51" s="4" t="s">
        <v>105</v>
      </c>
      <c r="C51" s="5">
        <v>236</v>
      </c>
      <c r="D51" s="180">
        <v>12</v>
      </c>
    </row>
    <row r="52" spans="2:4">
      <c r="B52" s="4" t="s">
        <v>34</v>
      </c>
      <c r="C52" s="5">
        <v>252</v>
      </c>
      <c r="D52" s="180">
        <v>36</v>
      </c>
    </row>
    <row r="53" spans="2:4">
      <c r="B53" s="4" t="s">
        <v>106</v>
      </c>
      <c r="C53" s="5">
        <v>237</v>
      </c>
      <c r="D53" s="180">
        <v>20</v>
      </c>
    </row>
    <row r="54" spans="2:4">
      <c r="B54" s="4" t="s">
        <v>107</v>
      </c>
      <c r="C54" s="5">
        <v>301</v>
      </c>
      <c r="D54" s="180">
        <v>34</v>
      </c>
    </row>
    <row r="55" spans="2:4">
      <c r="B55" s="4" t="s">
        <v>108</v>
      </c>
      <c r="C55" s="5">
        <v>238</v>
      </c>
      <c r="D55" s="180">
        <v>12</v>
      </c>
    </row>
    <row r="56" spans="2:4">
      <c r="B56" s="4" t="s">
        <v>109</v>
      </c>
      <c r="C56" s="5">
        <v>239</v>
      </c>
      <c r="D56" s="180">
        <v>12</v>
      </c>
    </row>
    <row r="57" spans="2:4">
      <c r="B57" s="4" t="s">
        <v>110</v>
      </c>
      <c r="C57" s="5">
        <v>240</v>
      </c>
      <c r="D57" s="180">
        <v>8</v>
      </c>
    </row>
    <row r="58" spans="2:4">
      <c r="B58" s="4" t="s">
        <v>111</v>
      </c>
      <c r="C58" s="5">
        <v>241</v>
      </c>
      <c r="D58" s="180">
        <v>42</v>
      </c>
    </row>
    <row r="59" spans="2:4">
      <c r="B59" s="4" t="s">
        <v>112</v>
      </c>
      <c r="C59" s="5">
        <v>242</v>
      </c>
      <c r="D59" s="180">
        <v>21</v>
      </c>
    </row>
    <row r="60" spans="2:4">
      <c r="B60" s="4" t="s">
        <v>113</v>
      </c>
      <c r="C60" s="5">
        <v>243</v>
      </c>
      <c r="D60" s="180">
        <v>62</v>
      </c>
    </row>
    <row r="61" spans="2:4">
      <c r="B61" s="4" t="s">
        <v>114</v>
      </c>
      <c r="C61" s="5">
        <v>244</v>
      </c>
      <c r="D61" s="180">
        <v>33</v>
      </c>
    </row>
    <row r="62" spans="2:4">
      <c r="B62" s="4" t="s">
        <v>115</v>
      </c>
      <c r="C62" s="5">
        <v>401</v>
      </c>
      <c r="D62" s="180">
        <v>16</v>
      </c>
    </row>
    <row r="63" spans="2:4">
      <c r="B63" s="19" t="s">
        <v>10</v>
      </c>
      <c r="C63" s="20">
        <v>860</v>
      </c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92</v>
      </c>
      <c r="D1" s="2">
        <v>171</v>
      </c>
    </row>
    <row r="2" spans="1:15">
      <c r="D2" s="2">
        <f>D1+1</f>
        <v>172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27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7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7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3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1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19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11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11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14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7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9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7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19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0.79166666666666663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11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0.84615384615384615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0.5714285714285714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7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93</v>
      </c>
      <c r="D1" s="2">
        <v>144</v>
      </c>
    </row>
    <row r="2" spans="1:15">
      <c r="D2" s="2">
        <f>D1+1</f>
        <v>145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16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17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15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12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8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7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5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15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0.78947368421052633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12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0.8571428571428571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5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0.83333333333333337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6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0.8571428571428571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94</v>
      </c>
      <c r="D1" s="2">
        <v>18</v>
      </c>
    </row>
    <row r="2" spans="1:15">
      <c r="D2" s="2">
        <v>19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14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4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5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14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0.73684210526315785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0.66666666666666663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0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5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0.625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95</v>
      </c>
      <c r="D1" s="2">
        <v>27</v>
      </c>
    </row>
    <row r="2" spans="1:15">
      <c r="D2" s="2">
        <v>28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33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9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30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23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4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13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16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13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4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16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13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6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7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30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0.81081081081081086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23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0.7931034482758621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13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6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10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0.7142857142857143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6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31</v>
      </c>
      <c r="D1" s="2">
        <v>174</v>
      </c>
    </row>
    <row r="2" spans="1:15">
      <c r="D2" s="2">
        <f>D1+1</f>
        <v>175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87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86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18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2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4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3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19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8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4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57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74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34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54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4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42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48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25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23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19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17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6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19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4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57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0.6785714285714286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74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23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0.76288659793814428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6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0.75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19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7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0.73076923076923073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2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19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19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0.72413793103448276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4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7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0.63636363636363635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96</v>
      </c>
      <c r="D1" s="2">
        <v>246</v>
      </c>
    </row>
    <row r="2" spans="1:15">
      <c r="D2" s="2">
        <f>D1+1</f>
        <v>247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15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16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15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9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2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15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0.78947368421052633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0.625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0.33333333333333331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32</v>
      </c>
      <c r="D1" s="2">
        <v>33</v>
      </c>
    </row>
    <row r="2" spans="1:15">
      <c r="D2" s="2">
        <v>34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138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147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29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4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6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16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17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2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2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66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74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4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6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28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47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56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4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14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2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41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35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10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15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4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66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74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0.54814814814814816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10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6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0.625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15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8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0.65217391304347827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2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2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24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0.31428571428571428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29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46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0.38666666666666666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13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7.1428571428571425E-2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8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0.1111111111111111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97</v>
      </c>
      <c r="D1" s="2">
        <v>177</v>
      </c>
    </row>
    <row r="2" spans="1:15">
      <c r="D2" s="2">
        <f>D1+1</f>
        <v>178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20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13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2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10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9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10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0.7142857142857143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0.88888888888888884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0.33333333333333331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0.8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98</v>
      </c>
      <c r="D1" s="2">
        <v>147</v>
      </c>
    </row>
    <row r="2" spans="1:15">
      <c r="D2" s="2">
        <f>D1+1</f>
        <v>148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55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10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22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14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5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6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29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43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4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13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30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3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4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13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20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16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16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13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6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3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29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0.63043478260869568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43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0.66153846153846152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6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0.66666666666666663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4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0.73333333333333328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2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4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9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0.52941176470588236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14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17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0.45161290322580644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6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99</v>
      </c>
      <c r="D1" s="2">
        <v>237</v>
      </c>
    </row>
    <row r="2" spans="1:15">
      <c r="D2" s="2">
        <f>D1+1</f>
        <v>238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47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32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19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14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5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1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27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19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13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20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12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2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19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10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9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6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7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27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13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0.67500000000000004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19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14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0.5757575757575758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7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0.875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0.55000000000000004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0.27272727272727271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U269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RowHeight="15"/>
  <cols>
    <col min="1" max="1" width="5.42578125" style="1" customWidth="1"/>
    <col min="2" max="2" width="24.85546875" style="1" bestFit="1" customWidth="1"/>
    <col min="3" max="3" width="14.7109375" style="1" customWidth="1"/>
    <col min="4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156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1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1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156" t="s">
        <v>0</v>
      </c>
      <c r="P4" s="156" t="s">
        <v>236</v>
      </c>
      <c r="Q4" s="156" t="s">
        <v>0</v>
      </c>
      <c r="R4" s="156" t="s">
        <v>236</v>
      </c>
      <c r="S4" s="364"/>
      <c r="T4" s="364"/>
      <c r="U4" s="364"/>
      <c r="V4" s="157" t="s">
        <v>21</v>
      </c>
      <c r="W4" s="157" t="s">
        <v>260</v>
      </c>
      <c r="X4" s="157" t="s">
        <v>0</v>
      </c>
      <c r="Y4" s="157" t="s">
        <v>236</v>
      </c>
      <c r="Z4" s="157" t="s">
        <v>0</v>
      </c>
      <c r="AA4" s="157" t="s">
        <v>236</v>
      </c>
      <c r="AB4" s="363"/>
      <c r="AC4" s="363"/>
      <c r="AD4" s="157" t="s">
        <v>0</v>
      </c>
      <c r="AE4" s="157" t="s">
        <v>236</v>
      </c>
      <c r="AF4" s="157" t="s">
        <v>0</v>
      </c>
      <c r="AG4" s="15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156" t="s">
        <v>0</v>
      </c>
      <c r="AR4" s="156" t="s">
        <v>236</v>
      </c>
      <c r="AS4" s="156" t="s">
        <v>0</v>
      </c>
      <c r="AT4" s="156" t="s">
        <v>236</v>
      </c>
      <c r="AU4" s="156" t="s">
        <v>261</v>
      </c>
      <c r="AV4" s="156" t="s">
        <v>0</v>
      </c>
      <c r="AW4" s="156" t="s">
        <v>236</v>
      </c>
      <c r="AX4" s="156" t="s">
        <v>0</v>
      </c>
      <c r="AY4" s="156" t="s">
        <v>236</v>
      </c>
      <c r="AZ4" s="156" t="s">
        <v>261</v>
      </c>
      <c r="BA4" s="156" t="s">
        <v>0</v>
      </c>
      <c r="BB4" s="156" t="s">
        <v>236</v>
      </c>
      <c r="BC4" s="156" t="s">
        <v>261</v>
      </c>
      <c r="BD4" s="157" t="s">
        <v>0</v>
      </c>
      <c r="BE4" s="157" t="s">
        <v>236</v>
      </c>
      <c r="BF4" s="157" t="s">
        <v>261</v>
      </c>
      <c r="BG4" s="157" t="s">
        <v>0</v>
      </c>
      <c r="BH4" s="157" t="s">
        <v>236</v>
      </c>
      <c r="BI4" s="157" t="s">
        <v>261</v>
      </c>
      <c r="BJ4" s="157" t="s">
        <v>0</v>
      </c>
      <c r="BK4" s="157" t="s">
        <v>236</v>
      </c>
      <c r="BL4" s="157" t="s">
        <v>261</v>
      </c>
      <c r="BM4" s="157" t="s">
        <v>262</v>
      </c>
      <c r="BN4" s="157" t="s">
        <v>263</v>
      </c>
      <c r="BO4" s="15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1" s="6" customFormat="1">
      <c r="A5" s="367"/>
      <c r="B5" s="368"/>
      <c r="C5" s="156">
        <v>1</v>
      </c>
      <c r="D5" s="156">
        <v>2</v>
      </c>
      <c r="E5" s="156">
        <v>3</v>
      </c>
      <c r="F5" s="156">
        <v>4</v>
      </c>
      <c r="G5" s="156">
        <v>5</v>
      </c>
      <c r="H5" s="156">
        <v>6</v>
      </c>
      <c r="I5" s="156">
        <v>7</v>
      </c>
      <c r="J5" s="156">
        <v>8</v>
      </c>
      <c r="K5" s="156">
        <v>9</v>
      </c>
      <c r="L5" s="156">
        <v>10</v>
      </c>
      <c r="M5" s="156">
        <v>11</v>
      </c>
      <c r="N5" s="156">
        <v>12</v>
      </c>
      <c r="O5" s="156">
        <v>13</v>
      </c>
      <c r="P5" s="156">
        <v>14</v>
      </c>
      <c r="Q5" s="156">
        <v>15</v>
      </c>
      <c r="R5" s="156">
        <v>16</v>
      </c>
      <c r="S5" s="156">
        <v>17</v>
      </c>
      <c r="T5" s="156">
        <v>18</v>
      </c>
      <c r="U5" s="156">
        <v>19</v>
      </c>
      <c r="V5" s="157">
        <v>1</v>
      </c>
      <c r="W5" s="157">
        <v>2</v>
      </c>
      <c r="X5" s="157">
        <v>3</v>
      </c>
      <c r="Y5" s="157">
        <v>4</v>
      </c>
      <c r="Z5" s="157">
        <v>5</v>
      </c>
      <c r="AA5" s="157">
        <v>6</v>
      </c>
      <c r="AB5" s="157">
        <v>7</v>
      </c>
      <c r="AC5" s="157">
        <v>8</v>
      </c>
      <c r="AD5" s="157">
        <v>9</v>
      </c>
      <c r="AE5" s="157">
        <v>10</v>
      </c>
      <c r="AF5" s="157">
        <v>11</v>
      </c>
      <c r="AG5" s="157">
        <v>12</v>
      </c>
      <c r="AH5" s="157">
        <v>13</v>
      </c>
      <c r="AI5" s="157">
        <v>14</v>
      </c>
      <c r="AJ5" s="157">
        <v>15</v>
      </c>
      <c r="AK5" s="157">
        <v>16</v>
      </c>
      <c r="AL5" s="157">
        <v>17</v>
      </c>
      <c r="AM5" s="158">
        <v>18</v>
      </c>
      <c r="AN5" s="156">
        <v>1</v>
      </c>
      <c r="AO5" s="156">
        <v>2</v>
      </c>
      <c r="AP5" s="156">
        <v>3</v>
      </c>
      <c r="AQ5" s="156">
        <v>4</v>
      </c>
      <c r="AR5" s="156">
        <v>5</v>
      </c>
      <c r="AS5" s="156">
        <v>6</v>
      </c>
      <c r="AT5" s="156">
        <v>7</v>
      </c>
      <c r="AU5" s="156">
        <v>8</v>
      </c>
      <c r="AV5" s="156">
        <v>9</v>
      </c>
      <c r="AW5" s="156">
        <v>10</v>
      </c>
      <c r="AX5" s="156">
        <v>11</v>
      </c>
      <c r="AY5" s="156">
        <v>12</v>
      </c>
      <c r="AZ5" s="156">
        <v>13</v>
      </c>
      <c r="BA5" s="156">
        <v>14</v>
      </c>
      <c r="BB5" s="156">
        <v>15</v>
      </c>
      <c r="BC5" s="156">
        <v>16</v>
      </c>
      <c r="BD5" s="157">
        <v>1</v>
      </c>
      <c r="BE5" s="157">
        <v>2</v>
      </c>
      <c r="BF5" s="157">
        <v>3</v>
      </c>
      <c r="BG5" s="157">
        <v>4</v>
      </c>
      <c r="BH5" s="157">
        <v>5</v>
      </c>
      <c r="BI5" s="157">
        <v>6</v>
      </c>
      <c r="BJ5" s="157">
        <v>7</v>
      </c>
      <c r="BK5" s="157">
        <v>8</v>
      </c>
      <c r="BL5" s="157">
        <v>9</v>
      </c>
      <c r="BM5" s="157">
        <v>10</v>
      </c>
      <c r="BN5" s="157">
        <v>11</v>
      </c>
      <c r="BO5" s="15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59">
        <v>1</v>
      </c>
      <c r="BY5" s="159">
        <v>2</v>
      </c>
      <c r="BZ5" s="159">
        <v>3</v>
      </c>
      <c r="CA5" s="159">
        <v>4</v>
      </c>
      <c r="CB5" s="159">
        <v>5</v>
      </c>
      <c r="CC5" s="159">
        <v>6</v>
      </c>
      <c r="CD5" s="159">
        <v>7</v>
      </c>
      <c r="CE5" s="159">
        <v>8</v>
      </c>
      <c r="CF5" s="159">
        <v>9</v>
      </c>
      <c r="CG5" s="159">
        <v>10</v>
      </c>
      <c r="CH5" s="159">
        <v>11</v>
      </c>
      <c r="CI5" s="159">
        <v>12</v>
      </c>
      <c r="CJ5" s="159">
        <v>13</v>
      </c>
      <c r="CK5" s="159">
        <v>14</v>
      </c>
      <c r="CL5" s="159">
        <v>15</v>
      </c>
      <c r="CM5" s="159">
        <v>16</v>
      </c>
      <c r="CN5" s="159">
        <v>17</v>
      </c>
      <c r="CO5" s="159">
        <v>18</v>
      </c>
      <c r="CP5" s="159">
        <v>19</v>
      </c>
      <c r="CQ5" s="159">
        <v>20</v>
      </c>
      <c r="CR5" s="159">
        <v>21</v>
      </c>
      <c r="CS5" s="159">
        <v>22</v>
      </c>
      <c r="CT5" s="159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156">
        <v>1</v>
      </c>
      <c r="DS5" s="156">
        <v>2</v>
      </c>
      <c r="DT5" s="156">
        <v>3</v>
      </c>
      <c r="DU5" s="156">
        <v>4</v>
      </c>
      <c r="DV5" s="156">
        <v>5</v>
      </c>
      <c r="DW5" s="156">
        <v>6</v>
      </c>
      <c r="DX5" s="156">
        <v>7</v>
      </c>
      <c r="DY5" s="156">
        <v>8</v>
      </c>
      <c r="DZ5" s="156">
        <v>9</v>
      </c>
      <c r="EA5" s="156">
        <v>10</v>
      </c>
      <c r="EB5" s="156">
        <v>11</v>
      </c>
      <c r="EC5" s="156">
        <v>12</v>
      </c>
      <c r="ED5" s="156">
        <v>13</v>
      </c>
      <c r="EE5" s="157">
        <v>1</v>
      </c>
      <c r="EF5" s="157">
        <v>2</v>
      </c>
      <c r="EG5" s="157">
        <v>3</v>
      </c>
      <c r="EH5" s="157">
        <v>4</v>
      </c>
      <c r="EI5" s="157">
        <v>5</v>
      </c>
      <c r="EJ5" s="157">
        <v>6</v>
      </c>
      <c r="EK5" s="157">
        <v>7</v>
      </c>
      <c r="EL5" s="157">
        <v>8</v>
      </c>
      <c r="EM5" s="157">
        <v>9</v>
      </c>
      <c r="EN5" s="157">
        <v>10</v>
      </c>
      <c r="EO5" s="157">
        <v>11</v>
      </c>
      <c r="EP5" s="157">
        <v>12</v>
      </c>
      <c r="EQ5" s="157">
        <v>13</v>
      </c>
      <c r="ER5" s="157">
        <v>14</v>
      </c>
      <c r="ES5" s="157">
        <v>15</v>
      </c>
      <c r="ET5" s="157">
        <v>16</v>
      </c>
      <c r="EU5" s="157">
        <v>17</v>
      </c>
    </row>
    <row r="6" spans="1:151" ht="15" customHeight="1">
      <c r="A6" s="252"/>
      <c r="B6" s="264" t="s">
        <v>402</v>
      </c>
      <c r="C6" s="264">
        <v>35</v>
      </c>
      <c r="D6" s="264"/>
      <c r="E6" s="264">
        <v>23</v>
      </c>
      <c r="F6" s="264"/>
      <c r="G6" s="264">
        <v>35</v>
      </c>
      <c r="H6" s="264"/>
      <c r="I6" s="264">
        <v>23</v>
      </c>
      <c r="J6" s="264"/>
      <c r="K6" s="264">
        <v>9</v>
      </c>
      <c r="L6" s="264"/>
      <c r="M6" s="264"/>
      <c r="N6" s="264" t="s">
        <v>1064</v>
      </c>
      <c r="O6" s="264">
        <v>8</v>
      </c>
      <c r="P6" s="264"/>
      <c r="Q6" s="264">
        <v>2</v>
      </c>
      <c r="R6" s="264"/>
      <c r="S6" s="264">
        <v>1</v>
      </c>
      <c r="T6" s="264"/>
      <c r="U6" s="264" t="s">
        <v>667</v>
      </c>
      <c r="V6" s="264"/>
      <c r="W6" s="264"/>
      <c r="X6" s="264">
        <v>17</v>
      </c>
      <c r="Y6" s="264"/>
      <c r="Z6" s="264">
        <v>13</v>
      </c>
      <c r="AA6" s="264"/>
      <c r="AB6" s="264">
        <v>2</v>
      </c>
      <c r="AC6" s="264" t="s">
        <v>700</v>
      </c>
      <c r="AD6" s="264">
        <v>18</v>
      </c>
      <c r="AE6" s="264"/>
      <c r="AF6" s="264">
        <v>10</v>
      </c>
      <c r="AG6" s="264"/>
      <c r="AH6" s="264">
        <v>7</v>
      </c>
      <c r="AI6" s="264" t="s">
        <v>972</v>
      </c>
      <c r="AJ6" s="264">
        <v>5</v>
      </c>
      <c r="AK6" s="264"/>
      <c r="AL6" s="264"/>
      <c r="AM6" s="264"/>
      <c r="AN6" s="264">
        <v>8</v>
      </c>
      <c r="AO6" s="264"/>
      <c r="AP6" s="66">
        <v>43730</v>
      </c>
      <c r="AQ6" s="264">
        <v>1</v>
      </c>
      <c r="AR6" s="264"/>
      <c r="AS6" s="264">
        <v>6</v>
      </c>
      <c r="AT6" s="264"/>
      <c r="AU6" s="66">
        <v>43482</v>
      </c>
      <c r="AV6" s="264">
        <v>2</v>
      </c>
      <c r="AW6" s="264"/>
      <c r="AX6" s="264">
        <v>1</v>
      </c>
      <c r="AY6" s="264"/>
      <c r="AZ6" s="66">
        <v>43528</v>
      </c>
      <c r="BA6" s="264">
        <v>13</v>
      </c>
      <c r="BB6" s="264"/>
      <c r="BC6" s="264" t="s">
        <v>656</v>
      </c>
      <c r="BD6" s="264">
        <v>7</v>
      </c>
      <c r="BE6" s="264"/>
      <c r="BF6" s="66">
        <v>43585</v>
      </c>
      <c r="BG6" s="264">
        <v>15</v>
      </c>
      <c r="BH6" s="264"/>
      <c r="BI6" s="264" t="s">
        <v>695</v>
      </c>
      <c r="BJ6" s="264">
        <v>1</v>
      </c>
      <c r="BK6" s="264"/>
      <c r="BL6" s="66">
        <v>43528</v>
      </c>
      <c r="BM6" s="264">
        <v>1</v>
      </c>
      <c r="BN6" s="264" t="s">
        <v>651</v>
      </c>
      <c r="BO6" s="264"/>
      <c r="BP6" s="264">
        <v>1</v>
      </c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>
        <v>1</v>
      </c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>
        <v>15</v>
      </c>
      <c r="CV6" s="264">
        <v>6</v>
      </c>
      <c r="CW6" s="264">
        <v>7</v>
      </c>
      <c r="CX6" s="264" t="s">
        <v>815</v>
      </c>
      <c r="CY6" s="264">
        <v>3</v>
      </c>
      <c r="CZ6" s="264"/>
      <c r="DA6" s="264">
        <v>1</v>
      </c>
      <c r="DB6" s="264"/>
      <c r="DC6" s="264">
        <v>1</v>
      </c>
      <c r="DD6" s="264"/>
      <c r="DE6" s="264"/>
      <c r="DF6" s="264">
        <v>1</v>
      </c>
      <c r="DG6" s="264">
        <v>1</v>
      </c>
      <c r="DH6" s="264">
        <v>2</v>
      </c>
      <c r="DI6" s="264" t="s">
        <v>714</v>
      </c>
      <c r="DJ6" s="264"/>
      <c r="DK6" s="264"/>
      <c r="DL6" s="264"/>
      <c r="DM6" s="264"/>
      <c r="DN6" s="264"/>
      <c r="DO6" s="264"/>
      <c r="DP6" s="264"/>
      <c r="DQ6" s="264"/>
      <c r="DR6" s="264">
        <v>1</v>
      </c>
      <c r="DS6" s="264"/>
      <c r="DT6" s="264">
        <v>1</v>
      </c>
      <c r="DU6" s="264"/>
      <c r="DV6" s="264">
        <v>1</v>
      </c>
      <c r="DW6" s="264"/>
      <c r="DX6" s="264">
        <v>2</v>
      </c>
      <c r="DY6" s="264"/>
      <c r="DZ6" s="264">
        <v>2</v>
      </c>
      <c r="EA6" s="264"/>
      <c r="EB6" s="264"/>
      <c r="EC6" s="264"/>
      <c r="ED6" s="264" t="s">
        <v>651</v>
      </c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>
        <v>29</v>
      </c>
      <c r="D7" s="264" t="s">
        <v>1343</v>
      </c>
      <c r="E7" s="264">
        <v>22</v>
      </c>
      <c r="F7" s="264" t="s">
        <v>1422</v>
      </c>
      <c r="G7" s="264">
        <v>29</v>
      </c>
      <c r="H7" s="264" t="s">
        <v>1343</v>
      </c>
      <c r="I7" s="264">
        <v>22</v>
      </c>
      <c r="J7" s="264" t="s">
        <v>1422</v>
      </c>
      <c r="K7" s="264">
        <v>6</v>
      </c>
      <c r="L7" s="264" t="s">
        <v>677</v>
      </c>
      <c r="M7" s="264"/>
      <c r="N7" s="264" t="s">
        <v>1038</v>
      </c>
      <c r="O7" s="264">
        <v>4</v>
      </c>
      <c r="P7" s="264" t="s">
        <v>678</v>
      </c>
      <c r="Q7" s="264">
        <v>5</v>
      </c>
      <c r="R7" s="264" t="s">
        <v>722</v>
      </c>
      <c r="S7" s="264"/>
      <c r="T7" s="264" t="s">
        <v>650</v>
      </c>
      <c r="U7" s="264" t="s">
        <v>651</v>
      </c>
      <c r="V7" s="264">
        <v>1</v>
      </c>
      <c r="W7" s="66">
        <v>43525</v>
      </c>
      <c r="X7" s="264">
        <v>19</v>
      </c>
      <c r="Y7" s="66">
        <v>43688</v>
      </c>
      <c r="Z7" s="264">
        <v>13</v>
      </c>
      <c r="AA7" s="264"/>
      <c r="AB7" s="264">
        <v>2</v>
      </c>
      <c r="AC7" s="264" t="s">
        <v>700</v>
      </c>
      <c r="AD7" s="264">
        <v>10</v>
      </c>
      <c r="AE7" s="264" t="s">
        <v>754</v>
      </c>
      <c r="AF7" s="264">
        <v>9</v>
      </c>
      <c r="AG7" s="264" t="s">
        <v>758</v>
      </c>
      <c r="AH7" s="264">
        <v>4</v>
      </c>
      <c r="AI7" s="264" t="s">
        <v>729</v>
      </c>
      <c r="AJ7" s="264">
        <v>4</v>
      </c>
      <c r="AK7" s="264" t="s">
        <v>669</v>
      </c>
      <c r="AL7" s="264"/>
      <c r="AM7" s="264"/>
      <c r="AN7" s="264">
        <v>6</v>
      </c>
      <c r="AO7" s="264" t="s">
        <v>672</v>
      </c>
      <c r="AP7" s="66">
        <v>43666</v>
      </c>
      <c r="AQ7" s="264"/>
      <c r="AR7" s="264" t="s">
        <v>650</v>
      </c>
      <c r="AS7" s="264">
        <v>5</v>
      </c>
      <c r="AT7" s="264" t="s">
        <v>692</v>
      </c>
      <c r="AU7" s="66">
        <v>43513</v>
      </c>
      <c r="AV7" s="264">
        <v>1</v>
      </c>
      <c r="AW7" s="264" t="s">
        <v>678</v>
      </c>
      <c r="AX7" s="264">
        <v>2</v>
      </c>
      <c r="AY7" s="264" t="s">
        <v>651</v>
      </c>
      <c r="AZ7" s="66">
        <v>43474</v>
      </c>
      <c r="BA7" s="264">
        <v>15</v>
      </c>
      <c r="BB7" s="66">
        <v>43570</v>
      </c>
      <c r="BC7" s="264" t="s">
        <v>791</v>
      </c>
      <c r="BD7" s="264">
        <v>11</v>
      </c>
      <c r="BE7" s="264" t="s">
        <v>744</v>
      </c>
      <c r="BF7" s="264" t="s">
        <v>657</v>
      </c>
      <c r="BG7" s="264">
        <v>12</v>
      </c>
      <c r="BH7" s="264" t="s">
        <v>669</v>
      </c>
      <c r="BI7" s="264" t="s">
        <v>1067</v>
      </c>
      <c r="BJ7" s="264">
        <v>4</v>
      </c>
      <c r="BK7" s="264" t="s">
        <v>731</v>
      </c>
      <c r="BL7" s="66">
        <v>43514</v>
      </c>
      <c r="BM7" s="264">
        <v>4</v>
      </c>
      <c r="BN7" s="264" t="s">
        <v>651</v>
      </c>
      <c r="BO7" s="264"/>
      <c r="BP7" s="264"/>
      <c r="BQ7" s="264"/>
      <c r="BR7" s="264"/>
      <c r="BS7" s="264"/>
      <c r="BT7" s="264"/>
      <c r="BU7" s="264"/>
      <c r="BV7" s="264"/>
      <c r="BW7" s="264"/>
      <c r="BX7" s="264">
        <v>1</v>
      </c>
      <c r="BY7" s="264">
        <v>1</v>
      </c>
      <c r="BZ7" s="264"/>
      <c r="CA7" s="264" t="s">
        <v>651</v>
      </c>
      <c r="CB7" s="264"/>
      <c r="CC7" s="264"/>
      <c r="CD7" s="264"/>
      <c r="CE7" s="264"/>
      <c r="CF7" s="264"/>
      <c r="CG7" s="264">
        <v>1</v>
      </c>
      <c r="CH7" s="264"/>
      <c r="CI7" s="264" t="s">
        <v>651</v>
      </c>
      <c r="CJ7" s="264">
        <v>1</v>
      </c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>
        <v>6</v>
      </c>
      <c r="CV7" s="264">
        <v>3</v>
      </c>
      <c r="CW7" s="264">
        <v>4</v>
      </c>
      <c r="CX7" s="264" t="s">
        <v>772</v>
      </c>
      <c r="CY7" s="264"/>
      <c r="CZ7" s="264">
        <v>1</v>
      </c>
      <c r="DA7" s="264"/>
      <c r="DB7" s="264" t="s">
        <v>651</v>
      </c>
      <c r="DC7" s="264"/>
      <c r="DD7" s="264"/>
      <c r="DE7" s="264"/>
      <c r="DF7" s="264">
        <v>4</v>
      </c>
      <c r="DG7" s="264">
        <v>1</v>
      </c>
      <c r="DH7" s="264">
        <v>1</v>
      </c>
      <c r="DI7" s="264" t="s">
        <v>657</v>
      </c>
      <c r="DJ7" s="264"/>
      <c r="DK7" s="264">
        <v>1</v>
      </c>
      <c r="DL7" s="264"/>
      <c r="DM7" s="264" t="s">
        <v>651</v>
      </c>
      <c r="DN7" s="264"/>
      <c r="DO7" s="264">
        <v>1</v>
      </c>
      <c r="DP7" s="264"/>
      <c r="DQ7" s="264" t="s">
        <v>651</v>
      </c>
      <c r="DR7" s="264">
        <v>2</v>
      </c>
      <c r="DS7" s="264" t="s">
        <v>651</v>
      </c>
      <c r="DT7" s="264">
        <v>2</v>
      </c>
      <c r="DU7" s="264" t="s">
        <v>651</v>
      </c>
      <c r="DV7" s="264">
        <v>2</v>
      </c>
      <c r="DW7" s="264" t="s">
        <v>651</v>
      </c>
      <c r="DX7" s="264">
        <v>1</v>
      </c>
      <c r="DY7" s="264" t="s">
        <v>678</v>
      </c>
      <c r="DZ7" s="264">
        <v>1</v>
      </c>
      <c r="EA7" s="264" t="s">
        <v>678</v>
      </c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 t="s">
        <v>649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 t="s">
        <v>652</v>
      </c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 t="s">
        <v>37</v>
      </c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 t="s">
        <v>653</v>
      </c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 t="s">
        <v>654</v>
      </c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 t="s">
        <v>649</v>
      </c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 t="s">
        <v>655</v>
      </c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 t="s">
        <v>37</v>
      </c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>
        <v>23</v>
      </c>
      <c r="D9" s="264"/>
      <c r="E9" s="264">
        <v>14</v>
      </c>
      <c r="F9" s="264"/>
      <c r="G9" s="264">
        <v>23</v>
      </c>
      <c r="H9" s="264"/>
      <c r="I9" s="264">
        <v>14</v>
      </c>
      <c r="J9" s="264"/>
      <c r="K9" s="264">
        <v>8</v>
      </c>
      <c r="L9" s="264"/>
      <c r="M9" s="264"/>
      <c r="N9" s="264" t="s">
        <v>824</v>
      </c>
      <c r="O9" s="264">
        <v>6</v>
      </c>
      <c r="P9" s="264"/>
      <c r="Q9" s="264">
        <v>1</v>
      </c>
      <c r="R9" s="264"/>
      <c r="S9" s="264">
        <v>1</v>
      </c>
      <c r="T9" s="264"/>
      <c r="U9" s="264" t="s">
        <v>657</v>
      </c>
      <c r="V9" s="264"/>
      <c r="W9" s="264"/>
      <c r="X9" s="264">
        <v>10</v>
      </c>
      <c r="Y9" s="264"/>
      <c r="Z9" s="264">
        <v>7</v>
      </c>
      <c r="AA9" s="264"/>
      <c r="AB9" s="264">
        <v>2</v>
      </c>
      <c r="AC9" s="264" t="s">
        <v>1006</v>
      </c>
      <c r="AD9" s="264">
        <v>13</v>
      </c>
      <c r="AE9" s="264"/>
      <c r="AF9" s="264">
        <v>7</v>
      </c>
      <c r="AG9" s="264"/>
      <c r="AH9" s="264">
        <v>6</v>
      </c>
      <c r="AI9" s="264" t="s">
        <v>769</v>
      </c>
      <c r="AJ9" s="264">
        <v>2</v>
      </c>
      <c r="AK9" s="264"/>
      <c r="AL9" s="264"/>
      <c r="AM9" s="264"/>
      <c r="AN9" s="264">
        <v>7</v>
      </c>
      <c r="AO9" s="264"/>
      <c r="AP9" s="66">
        <v>43585</v>
      </c>
      <c r="AQ9" s="264">
        <v>1</v>
      </c>
      <c r="AR9" s="264"/>
      <c r="AS9" s="264">
        <v>5</v>
      </c>
      <c r="AT9" s="264"/>
      <c r="AU9" s="66">
        <v>43667</v>
      </c>
      <c r="AV9" s="264">
        <v>1</v>
      </c>
      <c r="AW9" s="264"/>
      <c r="AX9" s="264"/>
      <c r="AY9" s="264"/>
      <c r="AZ9" s="264"/>
      <c r="BA9" s="264">
        <v>7</v>
      </c>
      <c r="BB9" s="264"/>
      <c r="BC9" s="264" t="s">
        <v>657</v>
      </c>
      <c r="BD9" s="264">
        <v>7</v>
      </c>
      <c r="BE9" s="264"/>
      <c r="BF9" s="264" t="s">
        <v>657</v>
      </c>
      <c r="BG9" s="264">
        <v>10</v>
      </c>
      <c r="BH9" s="264"/>
      <c r="BI9" s="264" t="s">
        <v>837</v>
      </c>
      <c r="BJ9" s="264">
        <v>1</v>
      </c>
      <c r="BK9" s="264"/>
      <c r="BL9" s="66">
        <v>43472</v>
      </c>
      <c r="BM9" s="264">
        <v>1</v>
      </c>
      <c r="BN9" s="264" t="s">
        <v>651</v>
      </c>
      <c r="BO9" s="264"/>
      <c r="BP9" s="264">
        <v>1</v>
      </c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>
        <v>1</v>
      </c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>
        <v>8</v>
      </c>
      <c r="CV9" s="264">
        <v>2</v>
      </c>
      <c r="CW9" s="264">
        <v>6</v>
      </c>
      <c r="CX9" s="264" t="s">
        <v>688</v>
      </c>
      <c r="CY9" s="264">
        <v>2</v>
      </c>
      <c r="CZ9" s="264"/>
      <c r="DA9" s="264">
        <v>1</v>
      </c>
      <c r="DB9" s="264"/>
      <c r="DC9" s="264">
        <v>1</v>
      </c>
      <c r="DD9" s="264"/>
      <c r="DE9" s="264"/>
      <c r="DF9" s="264">
        <v>1</v>
      </c>
      <c r="DG9" s="264"/>
      <c r="DH9" s="264">
        <v>2</v>
      </c>
      <c r="DI9" s="264"/>
      <c r="DJ9" s="264"/>
      <c r="DK9" s="264"/>
      <c r="DL9" s="264"/>
      <c r="DM9" s="264"/>
      <c r="DN9" s="264"/>
      <c r="DO9" s="264"/>
      <c r="DP9" s="264"/>
      <c r="DQ9" s="264"/>
      <c r="DR9" s="264">
        <v>1</v>
      </c>
      <c r="DS9" s="264"/>
      <c r="DT9" s="264">
        <v>1</v>
      </c>
      <c r="DU9" s="264"/>
      <c r="DV9" s="264">
        <v>1</v>
      </c>
      <c r="DW9" s="264"/>
      <c r="DX9" s="264">
        <v>2</v>
      </c>
      <c r="DY9" s="264"/>
      <c r="DZ9" s="264">
        <v>2</v>
      </c>
      <c r="EA9" s="264"/>
      <c r="EB9" s="264"/>
      <c r="EC9" s="264"/>
      <c r="ED9" s="264" t="s">
        <v>651</v>
      </c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>
        <v>20</v>
      </c>
      <c r="D10" s="264" t="s">
        <v>811</v>
      </c>
      <c r="E10" s="264">
        <v>17</v>
      </c>
      <c r="F10" s="66">
        <v>43576</v>
      </c>
      <c r="G10" s="264">
        <v>20</v>
      </c>
      <c r="H10" s="264" t="s">
        <v>811</v>
      </c>
      <c r="I10" s="264">
        <v>17</v>
      </c>
      <c r="J10" s="66">
        <v>43576</v>
      </c>
      <c r="K10" s="264">
        <v>6</v>
      </c>
      <c r="L10" s="264" t="s">
        <v>672</v>
      </c>
      <c r="M10" s="264"/>
      <c r="N10" s="264" t="s">
        <v>1282</v>
      </c>
      <c r="O10" s="264">
        <v>2</v>
      </c>
      <c r="P10" s="264" t="s">
        <v>743</v>
      </c>
      <c r="Q10" s="264">
        <v>4</v>
      </c>
      <c r="R10" s="264" t="s">
        <v>731</v>
      </c>
      <c r="S10" s="264"/>
      <c r="T10" s="264" t="s">
        <v>650</v>
      </c>
      <c r="U10" s="264" t="s">
        <v>651</v>
      </c>
      <c r="V10" s="264">
        <v>1</v>
      </c>
      <c r="W10" s="66">
        <v>43647</v>
      </c>
      <c r="X10" s="264">
        <v>13</v>
      </c>
      <c r="Y10" s="264" t="s">
        <v>701</v>
      </c>
      <c r="Z10" s="264">
        <v>10</v>
      </c>
      <c r="AA10" s="264" t="s">
        <v>772</v>
      </c>
      <c r="AB10" s="264">
        <v>2</v>
      </c>
      <c r="AC10" s="264" t="s">
        <v>674</v>
      </c>
      <c r="AD10" s="264">
        <v>7</v>
      </c>
      <c r="AE10" s="264" t="s">
        <v>846</v>
      </c>
      <c r="AF10" s="264">
        <v>7</v>
      </c>
      <c r="AG10" s="264"/>
      <c r="AH10" s="264">
        <v>4</v>
      </c>
      <c r="AI10" s="264" t="s">
        <v>824</v>
      </c>
      <c r="AJ10" s="264">
        <v>3</v>
      </c>
      <c r="AK10" s="264" t="s">
        <v>657</v>
      </c>
      <c r="AL10" s="264"/>
      <c r="AM10" s="264"/>
      <c r="AN10" s="264">
        <v>4</v>
      </c>
      <c r="AO10" s="264" t="s">
        <v>904</v>
      </c>
      <c r="AP10" s="264" t="s">
        <v>690</v>
      </c>
      <c r="AQ10" s="264"/>
      <c r="AR10" s="264" t="s">
        <v>650</v>
      </c>
      <c r="AS10" s="264">
        <v>3</v>
      </c>
      <c r="AT10" s="264" t="s">
        <v>706</v>
      </c>
      <c r="AU10" s="264" t="s">
        <v>949</v>
      </c>
      <c r="AV10" s="264">
        <v>1</v>
      </c>
      <c r="AW10" s="264"/>
      <c r="AX10" s="264">
        <v>2</v>
      </c>
      <c r="AY10" s="264" t="s">
        <v>651</v>
      </c>
      <c r="AZ10" s="66">
        <v>43688</v>
      </c>
      <c r="BA10" s="264">
        <v>11</v>
      </c>
      <c r="BB10" s="264" t="s">
        <v>744</v>
      </c>
      <c r="BC10" s="264" t="s">
        <v>750</v>
      </c>
      <c r="BD10" s="264">
        <v>9</v>
      </c>
      <c r="BE10" s="66">
        <v>43644</v>
      </c>
      <c r="BF10" s="264" t="s">
        <v>965</v>
      </c>
      <c r="BG10" s="264">
        <v>9</v>
      </c>
      <c r="BH10" s="264" t="s">
        <v>758</v>
      </c>
      <c r="BI10" s="264" t="s">
        <v>965</v>
      </c>
      <c r="BJ10" s="264">
        <v>4</v>
      </c>
      <c r="BK10" s="264" t="s">
        <v>731</v>
      </c>
      <c r="BL10" s="66">
        <v>43608</v>
      </c>
      <c r="BM10" s="264">
        <v>4</v>
      </c>
      <c r="BN10" s="264" t="s">
        <v>651</v>
      </c>
      <c r="BO10" s="264"/>
      <c r="BP10" s="264"/>
      <c r="BQ10" s="264"/>
      <c r="BR10" s="264"/>
      <c r="BS10" s="264"/>
      <c r="BT10" s="264"/>
      <c r="BU10" s="264"/>
      <c r="BV10" s="264"/>
      <c r="BW10" s="264"/>
      <c r="BX10" s="264">
        <v>1</v>
      </c>
      <c r="BY10" s="264">
        <v>1</v>
      </c>
      <c r="BZ10" s="264"/>
      <c r="CA10" s="264" t="s">
        <v>651</v>
      </c>
      <c r="CB10" s="264"/>
      <c r="CC10" s="264"/>
      <c r="CD10" s="264"/>
      <c r="CE10" s="264"/>
      <c r="CF10" s="264"/>
      <c r="CG10" s="264">
        <v>1</v>
      </c>
      <c r="CH10" s="264"/>
      <c r="CI10" s="264" t="s">
        <v>651</v>
      </c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>
        <v>5</v>
      </c>
      <c r="CV10" s="264">
        <v>3</v>
      </c>
      <c r="CW10" s="264">
        <v>4</v>
      </c>
      <c r="CX10" s="264" t="s">
        <v>772</v>
      </c>
      <c r="CY10" s="264"/>
      <c r="CZ10" s="264">
        <v>1</v>
      </c>
      <c r="DA10" s="264"/>
      <c r="DB10" s="264" t="s">
        <v>651</v>
      </c>
      <c r="DC10" s="264"/>
      <c r="DD10" s="264"/>
      <c r="DE10" s="264"/>
      <c r="DF10" s="264">
        <v>3</v>
      </c>
      <c r="DG10" s="264"/>
      <c r="DH10" s="264">
        <v>1</v>
      </c>
      <c r="DI10" s="264"/>
      <c r="DJ10" s="264"/>
      <c r="DK10" s="264">
        <v>1</v>
      </c>
      <c r="DL10" s="264"/>
      <c r="DM10" s="264" t="s">
        <v>651</v>
      </c>
      <c r="DN10" s="264"/>
      <c r="DO10" s="264"/>
      <c r="DP10" s="264"/>
      <c r="DQ10" s="264"/>
      <c r="DR10" s="264"/>
      <c r="DS10" s="264" t="s">
        <v>650</v>
      </c>
      <c r="DT10" s="264"/>
      <c r="DU10" s="264" t="s">
        <v>650</v>
      </c>
      <c r="DV10" s="264"/>
      <c r="DW10" s="264" t="s">
        <v>650</v>
      </c>
      <c r="DX10" s="264"/>
      <c r="DY10" s="264" t="s">
        <v>650</v>
      </c>
      <c r="DZ10" s="264"/>
      <c r="EA10" s="264" t="s">
        <v>650</v>
      </c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 t="s">
        <v>649</v>
      </c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 t="s">
        <v>652</v>
      </c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 t="s">
        <v>37</v>
      </c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 t="s">
        <v>653</v>
      </c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 t="s">
        <v>654</v>
      </c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 t="s">
        <v>649</v>
      </c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 t="s">
        <v>655</v>
      </c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 t="s">
        <v>37</v>
      </c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>
        <v>12</v>
      </c>
      <c r="D12" s="264"/>
      <c r="E12" s="264">
        <v>9</v>
      </c>
      <c r="F12" s="264"/>
      <c r="G12" s="264">
        <v>12</v>
      </c>
      <c r="H12" s="264"/>
      <c r="I12" s="264">
        <v>9</v>
      </c>
      <c r="J12" s="264"/>
      <c r="K12" s="264">
        <v>1</v>
      </c>
      <c r="L12" s="264"/>
      <c r="M12" s="264"/>
      <c r="N12" s="264" t="s">
        <v>749</v>
      </c>
      <c r="O12" s="264">
        <v>2</v>
      </c>
      <c r="P12" s="264"/>
      <c r="Q12" s="264">
        <v>1</v>
      </c>
      <c r="R12" s="264"/>
      <c r="S12" s="264"/>
      <c r="T12" s="264"/>
      <c r="U12" s="264" t="s">
        <v>651</v>
      </c>
      <c r="V12" s="264"/>
      <c r="W12" s="264"/>
      <c r="X12" s="264">
        <v>7</v>
      </c>
      <c r="Y12" s="264"/>
      <c r="Z12" s="264">
        <v>6</v>
      </c>
      <c r="AA12" s="264"/>
      <c r="AB12" s="264"/>
      <c r="AC12" s="264" t="s">
        <v>651</v>
      </c>
      <c r="AD12" s="264">
        <v>5</v>
      </c>
      <c r="AE12" s="264"/>
      <c r="AF12" s="264">
        <v>3</v>
      </c>
      <c r="AG12" s="264"/>
      <c r="AH12" s="264">
        <v>1</v>
      </c>
      <c r="AI12" s="264" t="s">
        <v>734</v>
      </c>
      <c r="AJ12" s="264">
        <v>3</v>
      </c>
      <c r="AK12" s="264"/>
      <c r="AL12" s="264"/>
      <c r="AM12" s="264"/>
      <c r="AN12" s="264">
        <v>1</v>
      </c>
      <c r="AO12" s="264"/>
      <c r="AP12" s="66">
        <v>43532</v>
      </c>
      <c r="AQ12" s="264"/>
      <c r="AR12" s="264"/>
      <c r="AS12" s="264">
        <v>1</v>
      </c>
      <c r="AT12" s="264"/>
      <c r="AU12" s="66">
        <v>43532</v>
      </c>
      <c r="AV12" s="264">
        <v>1</v>
      </c>
      <c r="AW12" s="264"/>
      <c r="AX12" s="264">
        <v>1</v>
      </c>
      <c r="AY12" s="264"/>
      <c r="AZ12" s="66">
        <v>43476</v>
      </c>
      <c r="BA12" s="264">
        <v>6</v>
      </c>
      <c r="BB12" s="264"/>
      <c r="BC12" s="264" t="s">
        <v>667</v>
      </c>
      <c r="BD12" s="264"/>
      <c r="BE12" s="264"/>
      <c r="BF12" s="264"/>
      <c r="BG12" s="264">
        <v>5</v>
      </c>
      <c r="BH12" s="264"/>
      <c r="BI12" s="264" t="s">
        <v>727</v>
      </c>
      <c r="BJ12" s="264"/>
      <c r="BK12" s="264"/>
      <c r="BL12" s="264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>
        <v>7</v>
      </c>
      <c r="CV12" s="264">
        <v>4</v>
      </c>
      <c r="CW12" s="264">
        <v>1</v>
      </c>
      <c r="CX12" s="264" t="s">
        <v>693</v>
      </c>
      <c r="CY12" s="264">
        <v>1</v>
      </c>
      <c r="CZ12" s="264"/>
      <c r="DA12" s="264"/>
      <c r="DB12" s="264"/>
      <c r="DC12" s="264"/>
      <c r="DD12" s="264"/>
      <c r="DE12" s="264"/>
      <c r="DF12" s="264"/>
      <c r="DG12" s="264">
        <v>1</v>
      </c>
      <c r="DH12" s="264"/>
      <c r="DI12" s="264" t="s">
        <v>651</v>
      </c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>
        <v>9</v>
      </c>
      <c r="D13" s="264" t="s">
        <v>672</v>
      </c>
      <c r="E13" s="264">
        <v>5</v>
      </c>
      <c r="F13" s="264" t="s">
        <v>754</v>
      </c>
      <c r="G13" s="264">
        <v>9</v>
      </c>
      <c r="H13" s="264" t="s">
        <v>672</v>
      </c>
      <c r="I13" s="264">
        <v>5</v>
      </c>
      <c r="J13" s="264" t="s">
        <v>754</v>
      </c>
      <c r="K13" s="264"/>
      <c r="L13" s="264" t="s">
        <v>650</v>
      </c>
      <c r="M13" s="264"/>
      <c r="N13" s="264" t="s">
        <v>651</v>
      </c>
      <c r="O13" s="264">
        <v>2</v>
      </c>
      <c r="P13" s="264"/>
      <c r="Q13" s="264">
        <v>1</v>
      </c>
      <c r="R13" s="264"/>
      <c r="S13" s="264"/>
      <c r="T13" s="264"/>
      <c r="U13" s="264" t="s">
        <v>651</v>
      </c>
      <c r="V13" s="264"/>
      <c r="W13" s="264"/>
      <c r="X13" s="264">
        <v>6</v>
      </c>
      <c r="Y13" s="264" t="s">
        <v>673</v>
      </c>
      <c r="Z13" s="264">
        <v>3</v>
      </c>
      <c r="AA13" s="264" t="s">
        <v>678</v>
      </c>
      <c r="AB13" s="264"/>
      <c r="AC13" s="264" t="s">
        <v>651</v>
      </c>
      <c r="AD13" s="264">
        <v>3</v>
      </c>
      <c r="AE13" s="264" t="s">
        <v>706</v>
      </c>
      <c r="AF13" s="264">
        <v>2</v>
      </c>
      <c r="AG13" s="264" t="s">
        <v>677</v>
      </c>
      <c r="AH13" s="264"/>
      <c r="AI13" s="264" t="s">
        <v>651</v>
      </c>
      <c r="AJ13" s="264">
        <v>1</v>
      </c>
      <c r="AK13" s="264" t="s">
        <v>743</v>
      </c>
      <c r="AL13" s="264"/>
      <c r="AM13" s="264"/>
      <c r="AN13" s="264">
        <v>2</v>
      </c>
      <c r="AO13" s="264" t="s">
        <v>651</v>
      </c>
      <c r="AP13" s="66">
        <v>43518</v>
      </c>
      <c r="AQ13" s="264"/>
      <c r="AR13" s="264"/>
      <c r="AS13" s="264">
        <v>2</v>
      </c>
      <c r="AT13" s="264" t="s">
        <v>651</v>
      </c>
      <c r="AU13" s="66">
        <v>43518</v>
      </c>
      <c r="AV13" s="264"/>
      <c r="AW13" s="264" t="s">
        <v>650</v>
      </c>
      <c r="AX13" s="264"/>
      <c r="AY13" s="264" t="s">
        <v>650</v>
      </c>
      <c r="AZ13" s="264"/>
      <c r="BA13" s="264">
        <v>4</v>
      </c>
      <c r="BB13" s="264" t="s">
        <v>677</v>
      </c>
      <c r="BC13" s="264" t="s">
        <v>693</v>
      </c>
      <c r="BD13" s="264">
        <v>2</v>
      </c>
      <c r="BE13" s="264" t="s">
        <v>651</v>
      </c>
      <c r="BF13" s="264" t="s">
        <v>696</v>
      </c>
      <c r="BG13" s="264">
        <v>3</v>
      </c>
      <c r="BH13" s="264" t="s">
        <v>706</v>
      </c>
      <c r="BI13" s="264" t="s">
        <v>676</v>
      </c>
      <c r="BJ13" s="264"/>
      <c r="BK13" s="264"/>
      <c r="BL13" s="264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>
        <v>1</v>
      </c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>
        <v>1</v>
      </c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>
        <v>1</v>
      </c>
      <c r="DG13" s="264">
        <v>1</v>
      </c>
      <c r="DH13" s="264"/>
      <c r="DI13" s="264" t="s">
        <v>651</v>
      </c>
      <c r="DJ13" s="264"/>
      <c r="DK13" s="264"/>
      <c r="DL13" s="264"/>
      <c r="DM13" s="264"/>
      <c r="DN13" s="264"/>
      <c r="DO13" s="264">
        <v>1</v>
      </c>
      <c r="DP13" s="264"/>
      <c r="DQ13" s="264" t="s">
        <v>651</v>
      </c>
      <c r="DR13" s="264">
        <v>2</v>
      </c>
      <c r="DS13" s="264" t="s">
        <v>651</v>
      </c>
      <c r="DT13" s="264">
        <v>2</v>
      </c>
      <c r="DU13" s="264" t="s">
        <v>651</v>
      </c>
      <c r="DV13" s="264">
        <v>2</v>
      </c>
      <c r="DW13" s="264" t="s">
        <v>651</v>
      </c>
      <c r="DX13" s="264">
        <v>1</v>
      </c>
      <c r="DY13" s="264" t="s">
        <v>651</v>
      </c>
      <c r="DZ13" s="264">
        <v>1</v>
      </c>
      <c r="EA13" s="264" t="s">
        <v>651</v>
      </c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 t="s">
        <v>649</v>
      </c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 t="s">
        <v>652</v>
      </c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 t="s">
        <v>37</v>
      </c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 t="s">
        <v>653</v>
      </c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 t="s">
        <v>654</v>
      </c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 t="s">
        <v>649</v>
      </c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 t="s">
        <v>655</v>
      </c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 t="s">
        <v>37</v>
      </c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>
        <v>21</v>
      </c>
      <c r="D15" s="264"/>
      <c r="E15" s="264">
        <v>18</v>
      </c>
      <c r="F15" s="264"/>
      <c r="G15" s="264">
        <v>21</v>
      </c>
      <c r="H15" s="264"/>
      <c r="I15" s="264">
        <v>18</v>
      </c>
      <c r="J15" s="264"/>
      <c r="K15" s="264">
        <v>4</v>
      </c>
      <c r="L15" s="264"/>
      <c r="M15" s="264"/>
      <c r="N15" s="264" t="s">
        <v>684</v>
      </c>
      <c r="O15" s="264">
        <v>3</v>
      </c>
      <c r="P15" s="264"/>
      <c r="Q15" s="264">
        <v>3</v>
      </c>
      <c r="R15" s="264"/>
      <c r="S15" s="264">
        <v>1</v>
      </c>
      <c r="T15" s="264"/>
      <c r="U15" s="264" t="s">
        <v>734</v>
      </c>
      <c r="V15" s="264"/>
      <c r="W15" s="264"/>
      <c r="X15" s="264">
        <v>13</v>
      </c>
      <c r="Y15" s="264"/>
      <c r="Z15" s="264">
        <v>11</v>
      </c>
      <c r="AA15" s="264"/>
      <c r="AB15" s="264">
        <v>2</v>
      </c>
      <c r="AC15" s="264" t="s">
        <v>814</v>
      </c>
      <c r="AD15" s="264">
        <v>8</v>
      </c>
      <c r="AE15" s="264"/>
      <c r="AF15" s="264">
        <v>7</v>
      </c>
      <c r="AG15" s="264"/>
      <c r="AH15" s="264">
        <v>2</v>
      </c>
      <c r="AI15" s="264" t="s">
        <v>1006</v>
      </c>
      <c r="AJ15" s="264">
        <v>9</v>
      </c>
      <c r="AK15" s="264"/>
      <c r="AL15" s="264"/>
      <c r="AM15" s="264"/>
      <c r="AN15" s="264">
        <v>3</v>
      </c>
      <c r="AO15" s="264"/>
      <c r="AP15" s="66">
        <v>43538</v>
      </c>
      <c r="AQ15" s="264"/>
      <c r="AR15" s="264"/>
      <c r="AS15" s="264">
        <v>1</v>
      </c>
      <c r="AT15" s="264"/>
      <c r="AU15" s="66">
        <v>43681</v>
      </c>
      <c r="AV15" s="264">
        <v>3</v>
      </c>
      <c r="AW15" s="264"/>
      <c r="AX15" s="264">
        <v>1</v>
      </c>
      <c r="AY15" s="264"/>
      <c r="AZ15" s="66">
        <v>43621</v>
      </c>
      <c r="BA15" s="264">
        <v>13</v>
      </c>
      <c r="BB15" s="264"/>
      <c r="BC15" s="264" t="s">
        <v>779</v>
      </c>
      <c r="BD15" s="264">
        <v>9</v>
      </c>
      <c r="BE15" s="264"/>
      <c r="BF15" s="264" t="s">
        <v>657</v>
      </c>
      <c r="BG15" s="264">
        <v>10</v>
      </c>
      <c r="BH15" s="264"/>
      <c r="BI15" s="264" t="s">
        <v>727</v>
      </c>
      <c r="BJ15" s="264">
        <v>3</v>
      </c>
      <c r="BK15" s="264"/>
      <c r="BL15" s="66">
        <v>43662</v>
      </c>
      <c r="BM15" s="264">
        <v>2</v>
      </c>
      <c r="BN15" s="264" t="s">
        <v>667</v>
      </c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>
        <v>4</v>
      </c>
      <c r="CV15" s="264">
        <v>2</v>
      </c>
      <c r="CW15" s="264">
        <v>1</v>
      </c>
      <c r="CX15" s="264" t="s">
        <v>667</v>
      </c>
      <c r="CY15" s="264"/>
      <c r="CZ15" s="264"/>
      <c r="DA15" s="264">
        <v>1</v>
      </c>
      <c r="DB15" s="264"/>
      <c r="DC15" s="264">
        <v>1</v>
      </c>
      <c r="DD15" s="264"/>
      <c r="DE15" s="264"/>
      <c r="DF15" s="264">
        <v>1</v>
      </c>
      <c r="DG15" s="264"/>
      <c r="DH15" s="264">
        <v>1</v>
      </c>
      <c r="DI15" s="264"/>
      <c r="DJ15" s="264"/>
      <c r="DK15" s="264"/>
      <c r="DL15" s="264"/>
      <c r="DM15" s="264"/>
      <c r="DN15" s="264"/>
      <c r="DO15" s="264"/>
      <c r="DP15" s="264">
        <v>1</v>
      </c>
      <c r="DQ15" s="264"/>
      <c r="DR15" s="264">
        <v>1</v>
      </c>
      <c r="DS15" s="264"/>
      <c r="DT15" s="264">
        <v>1</v>
      </c>
      <c r="DU15" s="264"/>
      <c r="DV15" s="264">
        <v>1</v>
      </c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>
        <v>30</v>
      </c>
      <c r="D16" s="264" t="s">
        <v>772</v>
      </c>
      <c r="E16" s="264">
        <v>21</v>
      </c>
      <c r="F16" s="66">
        <v>43662</v>
      </c>
      <c r="G16" s="264">
        <v>30</v>
      </c>
      <c r="H16" s="264" t="s">
        <v>772</v>
      </c>
      <c r="I16" s="264">
        <v>21</v>
      </c>
      <c r="J16" s="66">
        <v>43662</v>
      </c>
      <c r="K16" s="264">
        <v>6</v>
      </c>
      <c r="L16" s="264" t="s">
        <v>657</v>
      </c>
      <c r="M16" s="264">
        <v>1</v>
      </c>
      <c r="N16" s="264" t="s">
        <v>1006</v>
      </c>
      <c r="O16" s="264">
        <v>4</v>
      </c>
      <c r="P16" s="264" t="s">
        <v>714</v>
      </c>
      <c r="Q16" s="264">
        <v>2</v>
      </c>
      <c r="R16" s="264" t="s">
        <v>677</v>
      </c>
      <c r="S16" s="264">
        <v>1</v>
      </c>
      <c r="T16" s="264"/>
      <c r="U16" s="264" t="s">
        <v>667</v>
      </c>
      <c r="V16" s="264"/>
      <c r="W16" s="264"/>
      <c r="X16" s="264">
        <v>15</v>
      </c>
      <c r="Y16" s="66">
        <v>43570</v>
      </c>
      <c r="Z16" s="264">
        <v>11</v>
      </c>
      <c r="AA16" s="264"/>
      <c r="AB16" s="264">
        <v>2</v>
      </c>
      <c r="AC16" s="264" t="s">
        <v>814</v>
      </c>
      <c r="AD16" s="264">
        <v>15</v>
      </c>
      <c r="AE16" s="264" t="s">
        <v>720</v>
      </c>
      <c r="AF16" s="264">
        <v>10</v>
      </c>
      <c r="AG16" s="264" t="s">
        <v>772</v>
      </c>
      <c r="AH16" s="264">
        <v>4</v>
      </c>
      <c r="AI16" s="264" t="s">
        <v>837</v>
      </c>
      <c r="AJ16" s="264">
        <v>10</v>
      </c>
      <c r="AK16" s="66">
        <v>43476</v>
      </c>
      <c r="AL16" s="264">
        <v>1</v>
      </c>
      <c r="AM16" s="264" t="s">
        <v>651</v>
      </c>
      <c r="AN16" s="264">
        <v>5</v>
      </c>
      <c r="AO16" s="264" t="s">
        <v>667</v>
      </c>
      <c r="AP16" s="66">
        <v>43662</v>
      </c>
      <c r="AQ16" s="264"/>
      <c r="AR16" s="264"/>
      <c r="AS16" s="264">
        <v>3</v>
      </c>
      <c r="AT16" s="264" t="s">
        <v>697</v>
      </c>
      <c r="AU16" s="264" t="s">
        <v>704</v>
      </c>
      <c r="AV16" s="264">
        <v>5</v>
      </c>
      <c r="AW16" s="264" t="s">
        <v>667</v>
      </c>
      <c r="AX16" s="264">
        <v>1</v>
      </c>
      <c r="AY16" s="264"/>
      <c r="AZ16" s="66">
        <v>43681</v>
      </c>
      <c r="BA16" s="264">
        <v>10</v>
      </c>
      <c r="BB16" s="264" t="s">
        <v>666</v>
      </c>
      <c r="BC16" s="264" t="s">
        <v>1423</v>
      </c>
      <c r="BD16" s="264">
        <v>7</v>
      </c>
      <c r="BE16" s="264" t="s">
        <v>782</v>
      </c>
      <c r="BF16" s="264" t="s">
        <v>714</v>
      </c>
      <c r="BG16" s="264">
        <v>12</v>
      </c>
      <c r="BH16" s="264" t="s">
        <v>690</v>
      </c>
      <c r="BI16" s="264" t="s">
        <v>744</v>
      </c>
      <c r="BJ16" s="264">
        <v>1</v>
      </c>
      <c r="BK16" s="264" t="s">
        <v>743</v>
      </c>
      <c r="BL16" s="66">
        <v>43681</v>
      </c>
      <c r="BM16" s="264">
        <v>1</v>
      </c>
      <c r="BN16" s="264" t="s">
        <v>651</v>
      </c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>
        <v>1</v>
      </c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>
        <v>1</v>
      </c>
      <c r="CR16" s="264"/>
      <c r="CS16" s="264"/>
      <c r="CT16" s="264"/>
      <c r="CU16" s="264">
        <v>9</v>
      </c>
      <c r="CV16" s="264">
        <v>7</v>
      </c>
      <c r="CW16" s="264">
        <v>4</v>
      </c>
      <c r="CX16" s="264" t="s">
        <v>824</v>
      </c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>
        <v>1</v>
      </c>
      <c r="DP16" s="264"/>
      <c r="DQ16" s="264" t="s">
        <v>651</v>
      </c>
      <c r="DR16" s="264"/>
      <c r="DS16" s="264" t="s">
        <v>650</v>
      </c>
      <c r="DT16" s="264"/>
      <c r="DU16" s="264" t="s">
        <v>650</v>
      </c>
      <c r="DV16" s="264"/>
      <c r="DW16" s="264" t="s">
        <v>650</v>
      </c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 t="s">
        <v>649</v>
      </c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 t="s">
        <v>652</v>
      </c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 t="s">
        <v>37</v>
      </c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 t="s">
        <v>653</v>
      </c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 t="s">
        <v>654</v>
      </c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 t="s">
        <v>649</v>
      </c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 t="s">
        <v>655</v>
      </c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 t="s">
        <v>37</v>
      </c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>
        <v>10</v>
      </c>
      <c r="D18" s="264"/>
      <c r="E18" s="264">
        <v>9</v>
      </c>
      <c r="F18" s="264"/>
      <c r="G18" s="264">
        <v>10</v>
      </c>
      <c r="H18" s="264"/>
      <c r="I18" s="264">
        <v>9</v>
      </c>
      <c r="J18" s="264"/>
      <c r="K18" s="264">
        <v>3</v>
      </c>
      <c r="L18" s="264"/>
      <c r="M18" s="264"/>
      <c r="N18" s="264" t="s">
        <v>734</v>
      </c>
      <c r="O18" s="264">
        <v>2</v>
      </c>
      <c r="P18" s="264"/>
      <c r="Q18" s="264">
        <v>2</v>
      </c>
      <c r="R18" s="264"/>
      <c r="S18" s="264">
        <v>1</v>
      </c>
      <c r="T18" s="264"/>
      <c r="U18" s="264" t="s">
        <v>667</v>
      </c>
      <c r="V18" s="264"/>
      <c r="W18" s="264"/>
      <c r="X18" s="264">
        <v>6</v>
      </c>
      <c r="Y18" s="264"/>
      <c r="Z18" s="264">
        <v>6</v>
      </c>
      <c r="AA18" s="264"/>
      <c r="AB18" s="264">
        <v>2</v>
      </c>
      <c r="AC18" s="264" t="s">
        <v>734</v>
      </c>
      <c r="AD18" s="264">
        <v>4</v>
      </c>
      <c r="AE18" s="264"/>
      <c r="AF18" s="264">
        <v>3</v>
      </c>
      <c r="AG18" s="264"/>
      <c r="AH18" s="264">
        <v>1</v>
      </c>
      <c r="AI18" s="264" t="s">
        <v>734</v>
      </c>
      <c r="AJ18" s="264">
        <v>2</v>
      </c>
      <c r="AK18" s="264"/>
      <c r="AL18" s="264"/>
      <c r="AM18" s="264"/>
      <c r="AN18" s="264">
        <v>1</v>
      </c>
      <c r="AO18" s="264"/>
      <c r="AP18" s="264" t="s">
        <v>704</v>
      </c>
      <c r="AQ18" s="264"/>
      <c r="AR18" s="264"/>
      <c r="AS18" s="264"/>
      <c r="AT18" s="264"/>
      <c r="AU18" s="264"/>
      <c r="AV18" s="264">
        <v>1</v>
      </c>
      <c r="AW18" s="264"/>
      <c r="AX18" s="264"/>
      <c r="AY18" s="264"/>
      <c r="AZ18" s="264"/>
      <c r="BA18" s="264">
        <v>6</v>
      </c>
      <c r="BB18" s="264"/>
      <c r="BC18" s="264" t="s">
        <v>667</v>
      </c>
      <c r="BD18" s="264">
        <v>4</v>
      </c>
      <c r="BE18" s="264"/>
      <c r="BF18" s="264" t="s">
        <v>726</v>
      </c>
      <c r="BG18" s="264">
        <v>5</v>
      </c>
      <c r="BH18" s="264"/>
      <c r="BI18" s="264" t="s">
        <v>727</v>
      </c>
      <c r="BJ18" s="264">
        <v>1</v>
      </c>
      <c r="BK18" s="264"/>
      <c r="BL18" s="66">
        <v>43476</v>
      </c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>
        <v>3</v>
      </c>
      <c r="CV18" s="264"/>
      <c r="CW18" s="264">
        <v>1</v>
      </c>
      <c r="CX18" s="264"/>
      <c r="CY18" s="264"/>
      <c r="CZ18" s="264"/>
      <c r="DA18" s="264">
        <v>1</v>
      </c>
      <c r="DB18" s="264"/>
      <c r="DC18" s="264"/>
      <c r="DD18" s="264"/>
      <c r="DE18" s="264"/>
      <c r="DF18" s="264">
        <v>1</v>
      </c>
      <c r="DG18" s="264"/>
      <c r="DH18" s="264"/>
      <c r="DI18" s="264"/>
      <c r="DJ18" s="264"/>
      <c r="DK18" s="264"/>
      <c r="DL18" s="264"/>
      <c r="DM18" s="264"/>
      <c r="DN18" s="264"/>
      <c r="DO18" s="264"/>
      <c r="DP18" s="264">
        <v>1</v>
      </c>
      <c r="DQ18" s="264"/>
      <c r="DR18" s="264">
        <v>1</v>
      </c>
      <c r="DS18" s="264"/>
      <c r="DT18" s="264">
        <v>1</v>
      </c>
      <c r="DU18" s="264"/>
      <c r="DV18" s="264">
        <v>1</v>
      </c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>
        <v>19</v>
      </c>
      <c r="D19" s="264" t="s">
        <v>749</v>
      </c>
      <c r="E19" s="264">
        <v>14</v>
      </c>
      <c r="F19" s="264" t="s">
        <v>727</v>
      </c>
      <c r="G19" s="264">
        <v>19</v>
      </c>
      <c r="H19" s="264" t="s">
        <v>749</v>
      </c>
      <c r="I19" s="264">
        <v>14</v>
      </c>
      <c r="J19" s="264" t="s">
        <v>727</v>
      </c>
      <c r="K19" s="264">
        <v>5</v>
      </c>
      <c r="L19" s="264" t="s">
        <v>667</v>
      </c>
      <c r="M19" s="264">
        <v>1</v>
      </c>
      <c r="N19" s="264" t="s">
        <v>867</v>
      </c>
      <c r="O19" s="264">
        <v>1</v>
      </c>
      <c r="P19" s="264" t="s">
        <v>678</v>
      </c>
      <c r="Q19" s="264"/>
      <c r="R19" s="264" t="s">
        <v>650</v>
      </c>
      <c r="S19" s="264">
        <v>1</v>
      </c>
      <c r="T19" s="264"/>
      <c r="U19" s="264"/>
      <c r="V19" s="264"/>
      <c r="W19" s="264"/>
      <c r="X19" s="264">
        <v>11</v>
      </c>
      <c r="Y19" s="264" t="s">
        <v>674</v>
      </c>
      <c r="Z19" s="264">
        <v>9</v>
      </c>
      <c r="AA19" s="264" t="s">
        <v>657</v>
      </c>
      <c r="AB19" s="264">
        <v>2</v>
      </c>
      <c r="AC19" s="264" t="s">
        <v>684</v>
      </c>
      <c r="AD19" s="264">
        <v>8</v>
      </c>
      <c r="AE19" s="264" t="s">
        <v>651</v>
      </c>
      <c r="AF19" s="264">
        <v>5</v>
      </c>
      <c r="AG19" s="264" t="s">
        <v>667</v>
      </c>
      <c r="AH19" s="264">
        <v>3</v>
      </c>
      <c r="AI19" s="264" t="s">
        <v>713</v>
      </c>
      <c r="AJ19" s="264">
        <v>5</v>
      </c>
      <c r="AK19" s="264" t="s">
        <v>722</v>
      </c>
      <c r="AL19" s="264">
        <v>1</v>
      </c>
      <c r="AM19" s="264" t="s">
        <v>651</v>
      </c>
      <c r="AN19" s="264">
        <v>4</v>
      </c>
      <c r="AO19" s="264" t="s">
        <v>731</v>
      </c>
      <c r="AP19" s="66">
        <v>43486</v>
      </c>
      <c r="AQ19" s="264"/>
      <c r="AR19" s="264"/>
      <c r="AS19" s="264">
        <v>3</v>
      </c>
      <c r="AT19" s="264" t="s">
        <v>651</v>
      </c>
      <c r="AU19" s="66">
        <v>43692</v>
      </c>
      <c r="AV19" s="264">
        <v>1</v>
      </c>
      <c r="AW19" s="264"/>
      <c r="AX19" s="264">
        <v>1</v>
      </c>
      <c r="AY19" s="264" t="s">
        <v>651</v>
      </c>
      <c r="AZ19" s="66">
        <v>43472</v>
      </c>
      <c r="BA19" s="264">
        <v>5</v>
      </c>
      <c r="BB19" s="264" t="s">
        <v>692</v>
      </c>
      <c r="BC19" s="264" t="s">
        <v>956</v>
      </c>
      <c r="BD19" s="264">
        <v>5</v>
      </c>
      <c r="BE19" s="264" t="s">
        <v>688</v>
      </c>
      <c r="BF19" s="264" t="s">
        <v>956</v>
      </c>
      <c r="BG19" s="264">
        <v>6</v>
      </c>
      <c r="BH19" s="264" t="s">
        <v>690</v>
      </c>
      <c r="BI19" s="264" t="s">
        <v>772</v>
      </c>
      <c r="BJ19" s="264">
        <v>1</v>
      </c>
      <c r="BK19" s="264"/>
      <c r="BL19" s="66">
        <v>43472</v>
      </c>
      <c r="BM19" s="264">
        <v>1</v>
      </c>
      <c r="BN19" s="264" t="s">
        <v>651</v>
      </c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>
        <v>1</v>
      </c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>
        <v>1</v>
      </c>
      <c r="CR19" s="264"/>
      <c r="CS19" s="264"/>
      <c r="CT19" s="264"/>
      <c r="CU19" s="264">
        <v>7</v>
      </c>
      <c r="CV19" s="264">
        <v>5</v>
      </c>
      <c r="CW19" s="264">
        <v>3</v>
      </c>
      <c r="CX19" s="264" t="s">
        <v>713</v>
      </c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>
        <v>1</v>
      </c>
      <c r="DP19" s="264"/>
      <c r="DQ19" s="264" t="s">
        <v>651</v>
      </c>
      <c r="DR19" s="264"/>
      <c r="DS19" s="264" t="s">
        <v>650</v>
      </c>
      <c r="DT19" s="264"/>
      <c r="DU19" s="264" t="s">
        <v>650</v>
      </c>
      <c r="DV19" s="264"/>
      <c r="DW19" s="264" t="s">
        <v>650</v>
      </c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 t="s">
        <v>649</v>
      </c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 t="s">
        <v>652</v>
      </c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 t="s">
        <v>37</v>
      </c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 t="s">
        <v>653</v>
      </c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 t="s">
        <v>654</v>
      </c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 t="s">
        <v>649</v>
      </c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 t="s">
        <v>655</v>
      </c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 t="s">
        <v>37</v>
      </c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>
        <v>11</v>
      </c>
      <c r="D21" s="264"/>
      <c r="E21" s="264">
        <v>9</v>
      </c>
      <c r="F21" s="264"/>
      <c r="G21" s="264">
        <v>11</v>
      </c>
      <c r="H21" s="264"/>
      <c r="I21" s="264">
        <v>9</v>
      </c>
      <c r="J21" s="264"/>
      <c r="K21" s="264">
        <v>1</v>
      </c>
      <c r="L21" s="264"/>
      <c r="M21" s="264"/>
      <c r="N21" s="264" t="s">
        <v>749</v>
      </c>
      <c r="O21" s="264">
        <v>1</v>
      </c>
      <c r="P21" s="264"/>
      <c r="Q21" s="264">
        <v>1</v>
      </c>
      <c r="R21" s="264"/>
      <c r="S21" s="264"/>
      <c r="T21" s="264"/>
      <c r="U21" s="264" t="s">
        <v>651</v>
      </c>
      <c r="V21" s="264"/>
      <c r="W21" s="264"/>
      <c r="X21" s="264">
        <v>7</v>
      </c>
      <c r="Y21" s="264"/>
      <c r="Z21" s="264">
        <v>5</v>
      </c>
      <c r="AA21" s="264"/>
      <c r="AB21" s="264"/>
      <c r="AC21" s="264" t="s">
        <v>651</v>
      </c>
      <c r="AD21" s="264">
        <v>4</v>
      </c>
      <c r="AE21" s="264"/>
      <c r="AF21" s="264">
        <v>4</v>
      </c>
      <c r="AG21" s="264"/>
      <c r="AH21" s="264">
        <v>1</v>
      </c>
      <c r="AI21" s="264" t="s">
        <v>693</v>
      </c>
      <c r="AJ21" s="264">
        <v>7</v>
      </c>
      <c r="AK21" s="264"/>
      <c r="AL21" s="264"/>
      <c r="AM21" s="264"/>
      <c r="AN21" s="264">
        <v>2</v>
      </c>
      <c r="AO21" s="264"/>
      <c r="AP21" s="66">
        <v>43514</v>
      </c>
      <c r="AQ21" s="264"/>
      <c r="AR21" s="264"/>
      <c r="AS21" s="264">
        <v>1</v>
      </c>
      <c r="AT21" s="264"/>
      <c r="AU21" s="66">
        <v>43474</v>
      </c>
      <c r="AV21" s="264">
        <v>2</v>
      </c>
      <c r="AW21" s="264"/>
      <c r="AX21" s="264">
        <v>1</v>
      </c>
      <c r="AY21" s="264"/>
      <c r="AZ21" s="66">
        <v>43476</v>
      </c>
      <c r="BA21" s="264">
        <v>7</v>
      </c>
      <c r="BB21" s="264"/>
      <c r="BC21" s="264" t="s">
        <v>1006</v>
      </c>
      <c r="BD21" s="264">
        <v>5</v>
      </c>
      <c r="BE21" s="264"/>
      <c r="BF21" s="264" t="s">
        <v>727</v>
      </c>
      <c r="BG21" s="264">
        <v>5</v>
      </c>
      <c r="BH21" s="264"/>
      <c r="BI21" s="264" t="s">
        <v>727</v>
      </c>
      <c r="BJ21" s="264">
        <v>2</v>
      </c>
      <c r="BK21" s="264"/>
      <c r="BL21" s="66">
        <v>43518</v>
      </c>
      <c r="BM21" s="264">
        <v>2</v>
      </c>
      <c r="BN21" s="264" t="s">
        <v>651</v>
      </c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>
        <v>1</v>
      </c>
      <c r="CV21" s="264">
        <v>2</v>
      </c>
      <c r="CW21" s="264"/>
      <c r="CX21" s="264" t="s">
        <v>651</v>
      </c>
      <c r="CY21" s="264"/>
      <c r="CZ21" s="264"/>
      <c r="DA21" s="264"/>
      <c r="DB21" s="264"/>
      <c r="DC21" s="264">
        <v>1</v>
      </c>
      <c r="DD21" s="264"/>
      <c r="DE21" s="264"/>
      <c r="DF21" s="264"/>
      <c r="DG21" s="264"/>
      <c r="DH21" s="264">
        <v>1</v>
      </c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>
        <v>11</v>
      </c>
      <c r="D22" s="264"/>
      <c r="E22" s="264">
        <v>7</v>
      </c>
      <c r="F22" s="264" t="s">
        <v>782</v>
      </c>
      <c r="G22" s="264">
        <v>11</v>
      </c>
      <c r="H22" s="264"/>
      <c r="I22" s="264">
        <v>7</v>
      </c>
      <c r="J22" s="264" t="s">
        <v>782</v>
      </c>
      <c r="K22" s="264">
        <v>1</v>
      </c>
      <c r="L22" s="264"/>
      <c r="M22" s="264"/>
      <c r="N22" s="264" t="s">
        <v>720</v>
      </c>
      <c r="O22" s="264">
        <v>3</v>
      </c>
      <c r="P22" s="264" t="s">
        <v>697</v>
      </c>
      <c r="Q22" s="264">
        <v>2</v>
      </c>
      <c r="R22" s="264" t="s">
        <v>651</v>
      </c>
      <c r="S22" s="264"/>
      <c r="T22" s="264"/>
      <c r="U22" s="264" t="s">
        <v>651</v>
      </c>
      <c r="V22" s="264"/>
      <c r="W22" s="264"/>
      <c r="X22" s="264">
        <v>4</v>
      </c>
      <c r="Y22" s="264" t="s">
        <v>904</v>
      </c>
      <c r="Z22" s="264">
        <v>2</v>
      </c>
      <c r="AA22" s="264" t="s">
        <v>723</v>
      </c>
      <c r="AB22" s="264"/>
      <c r="AC22" s="264" t="s">
        <v>651</v>
      </c>
      <c r="AD22" s="264">
        <v>7</v>
      </c>
      <c r="AE22" s="264" t="s">
        <v>734</v>
      </c>
      <c r="AF22" s="264">
        <v>5</v>
      </c>
      <c r="AG22" s="264" t="s">
        <v>688</v>
      </c>
      <c r="AH22" s="264">
        <v>1</v>
      </c>
      <c r="AI22" s="264" t="s">
        <v>674</v>
      </c>
      <c r="AJ22" s="264">
        <v>5</v>
      </c>
      <c r="AK22" s="264" t="s">
        <v>737</v>
      </c>
      <c r="AL22" s="264"/>
      <c r="AM22" s="264"/>
      <c r="AN22" s="264">
        <v>1</v>
      </c>
      <c r="AO22" s="264" t="s">
        <v>678</v>
      </c>
      <c r="AP22" s="66">
        <v>43474</v>
      </c>
      <c r="AQ22" s="264"/>
      <c r="AR22" s="264"/>
      <c r="AS22" s="264"/>
      <c r="AT22" s="264" t="s">
        <v>650</v>
      </c>
      <c r="AU22" s="264"/>
      <c r="AV22" s="264">
        <v>4</v>
      </c>
      <c r="AW22" s="264" t="s">
        <v>651</v>
      </c>
      <c r="AX22" s="264"/>
      <c r="AY22" s="264" t="s">
        <v>650</v>
      </c>
      <c r="AZ22" s="264"/>
      <c r="BA22" s="264">
        <v>5</v>
      </c>
      <c r="BB22" s="264" t="s">
        <v>737</v>
      </c>
      <c r="BC22" s="264" t="s">
        <v>837</v>
      </c>
      <c r="BD22" s="264">
        <v>2</v>
      </c>
      <c r="BE22" s="264" t="s">
        <v>723</v>
      </c>
      <c r="BF22" s="66">
        <v>43644</v>
      </c>
      <c r="BG22" s="264">
        <v>6</v>
      </c>
      <c r="BH22" s="264" t="s">
        <v>690</v>
      </c>
      <c r="BI22" s="264" t="s">
        <v>660</v>
      </c>
      <c r="BJ22" s="264"/>
      <c r="BK22" s="264" t="s">
        <v>650</v>
      </c>
      <c r="BL22" s="264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>
        <v>2</v>
      </c>
      <c r="CV22" s="264">
        <v>2</v>
      </c>
      <c r="CW22" s="264">
        <v>1</v>
      </c>
      <c r="CX22" s="264" t="s">
        <v>667</v>
      </c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 t="s">
        <v>649</v>
      </c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 t="s">
        <v>652</v>
      </c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 t="s">
        <v>37</v>
      </c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 t="s">
        <v>653</v>
      </c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 t="s">
        <v>654</v>
      </c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 t="s">
        <v>649</v>
      </c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 t="s">
        <v>655</v>
      </c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 t="s">
        <v>37</v>
      </c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>
        <v>45</v>
      </c>
      <c r="D24" s="264"/>
      <c r="E24" s="264">
        <v>42</v>
      </c>
      <c r="F24" s="264"/>
      <c r="G24" s="264">
        <v>45</v>
      </c>
      <c r="H24" s="264"/>
      <c r="I24" s="264">
        <v>42</v>
      </c>
      <c r="J24" s="264"/>
      <c r="K24" s="264">
        <v>7</v>
      </c>
      <c r="L24" s="264"/>
      <c r="M24" s="264"/>
      <c r="N24" s="264" t="s">
        <v>660</v>
      </c>
      <c r="O24" s="264">
        <v>11</v>
      </c>
      <c r="P24" s="264"/>
      <c r="Q24" s="264">
        <v>14</v>
      </c>
      <c r="R24" s="264"/>
      <c r="S24" s="264"/>
      <c r="T24" s="264"/>
      <c r="U24" s="264" t="s">
        <v>651</v>
      </c>
      <c r="V24" s="264"/>
      <c r="W24" s="264"/>
      <c r="X24" s="264">
        <v>21</v>
      </c>
      <c r="Y24" s="264"/>
      <c r="Z24" s="264">
        <v>19</v>
      </c>
      <c r="AA24" s="264"/>
      <c r="AB24" s="264">
        <v>3</v>
      </c>
      <c r="AC24" s="264" t="s">
        <v>863</v>
      </c>
      <c r="AD24" s="264">
        <v>24</v>
      </c>
      <c r="AE24" s="264"/>
      <c r="AF24" s="264">
        <v>23</v>
      </c>
      <c r="AG24" s="264"/>
      <c r="AH24" s="264">
        <v>4</v>
      </c>
      <c r="AI24" s="264" t="s">
        <v>766</v>
      </c>
      <c r="AJ24" s="264">
        <v>13</v>
      </c>
      <c r="AK24" s="264"/>
      <c r="AL24" s="264"/>
      <c r="AM24" s="264"/>
      <c r="AN24" s="264">
        <v>9</v>
      </c>
      <c r="AO24" s="264"/>
      <c r="AP24" s="264" t="s">
        <v>690</v>
      </c>
      <c r="AQ24" s="264">
        <v>1</v>
      </c>
      <c r="AR24" s="264"/>
      <c r="AS24" s="264">
        <v>6</v>
      </c>
      <c r="AT24" s="264"/>
      <c r="AU24" s="66">
        <v>43537</v>
      </c>
      <c r="AV24" s="264">
        <v>5</v>
      </c>
      <c r="AW24" s="264"/>
      <c r="AX24" s="264">
        <v>4</v>
      </c>
      <c r="AY24" s="264"/>
      <c r="AZ24" s="66">
        <v>43594</v>
      </c>
      <c r="BA24" s="264">
        <v>22</v>
      </c>
      <c r="BB24" s="264"/>
      <c r="BC24" s="264" t="s">
        <v>774</v>
      </c>
      <c r="BD24" s="264">
        <v>12</v>
      </c>
      <c r="BE24" s="264"/>
      <c r="BF24" s="66">
        <v>43644</v>
      </c>
      <c r="BG24" s="264">
        <v>22</v>
      </c>
      <c r="BH24" s="264"/>
      <c r="BI24" s="264" t="s">
        <v>774</v>
      </c>
      <c r="BJ24" s="264">
        <v>4</v>
      </c>
      <c r="BK24" s="264"/>
      <c r="BL24" s="66">
        <v>43594</v>
      </c>
      <c r="BM24" s="264">
        <v>4</v>
      </c>
      <c r="BN24" s="264" t="s">
        <v>651</v>
      </c>
      <c r="BO24" s="264"/>
      <c r="BP24" s="264"/>
      <c r="BQ24" s="264"/>
      <c r="BR24" s="264"/>
      <c r="BS24" s="264"/>
      <c r="BT24" s="264"/>
      <c r="BU24" s="264"/>
      <c r="BV24" s="264"/>
      <c r="BW24" s="264"/>
      <c r="BX24" s="264">
        <v>1</v>
      </c>
      <c r="BY24" s="264">
        <v>3</v>
      </c>
      <c r="BZ24" s="264"/>
      <c r="CA24" s="264" t="s">
        <v>651</v>
      </c>
      <c r="CB24" s="264"/>
      <c r="CC24" s="264">
        <v>1</v>
      </c>
      <c r="CD24" s="264"/>
      <c r="CE24" s="264" t="s">
        <v>651</v>
      </c>
      <c r="CF24" s="264">
        <v>1</v>
      </c>
      <c r="CG24" s="264"/>
      <c r="CH24" s="264"/>
      <c r="CI24" s="264"/>
      <c r="CJ24" s="264">
        <v>1</v>
      </c>
      <c r="CK24" s="264"/>
      <c r="CL24" s="264"/>
      <c r="CM24" s="264"/>
      <c r="CN24" s="264"/>
      <c r="CO24" s="264"/>
      <c r="CP24" s="264"/>
      <c r="CQ24" s="264">
        <v>1</v>
      </c>
      <c r="CR24" s="264"/>
      <c r="CS24" s="264"/>
      <c r="CT24" s="264"/>
      <c r="CU24" s="264">
        <v>12</v>
      </c>
      <c r="CV24" s="264">
        <v>16</v>
      </c>
      <c r="CW24" s="264">
        <v>4</v>
      </c>
      <c r="CX24" s="264" t="s">
        <v>693</v>
      </c>
      <c r="CY24" s="264">
        <v>4</v>
      </c>
      <c r="CZ24" s="264">
        <v>1</v>
      </c>
      <c r="DA24" s="264"/>
      <c r="DB24" s="264" t="s">
        <v>651</v>
      </c>
      <c r="DC24" s="264"/>
      <c r="DD24" s="264"/>
      <c r="DE24" s="264"/>
      <c r="DF24" s="264">
        <v>2</v>
      </c>
      <c r="DG24" s="264">
        <v>1</v>
      </c>
      <c r="DH24" s="264">
        <v>1</v>
      </c>
      <c r="DI24" s="264" t="s">
        <v>657</v>
      </c>
      <c r="DJ24" s="264"/>
      <c r="DK24" s="264"/>
      <c r="DL24" s="264"/>
      <c r="DM24" s="264"/>
      <c r="DN24" s="264">
        <v>1</v>
      </c>
      <c r="DO24" s="264"/>
      <c r="DP24" s="264"/>
      <c r="DQ24" s="264"/>
      <c r="DR24" s="264"/>
      <c r="DS24" s="264"/>
      <c r="DT24" s="264"/>
      <c r="DU24" s="264"/>
      <c r="DV24" s="264"/>
      <c r="DW24" s="264"/>
      <c r="DX24" s="264">
        <v>7</v>
      </c>
      <c r="DY24" s="264"/>
      <c r="DZ24" s="264">
        <v>7</v>
      </c>
      <c r="EA24" s="264"/>
      <c r="EB24" s="264">
        <v>7</v>
      </c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>
        <v>44</v>
      </c>
      <c r="D25" s="264" t="s">
        <v>1117</v>
      </c>
      <c r="E25" s="264">
        <v>28</v>
      </c>
      <c r="F25" s="264" t="s">
        <v>677</v>
      </c>
      <c r="G25" s="264">
        <v>44</v>
      </c>
      <c r="H25" s="264" t="s">
        <v>1117</v>
      </c>
      <c r="I25" s="264">
        <v>28</v>
      </c>
      <c r="J25" s="264" t="s">
        <v>677</v>
      </c>
      <c r="K25" s="264">
        <v>6</v>
      </c>
      <c r="L25" s="264" t="s">
        <v>673</v>
      </c>
      <c r="M25" s="264"/>
      <c r="N25" s="264" t="s">
        <v>759</v>
      </c>
      <c r="O25" s="264">
        <v>5</v>
      </c>
      <c r="P25" s="264" t="s">
        <v>738</v>
      </c>
      <c r="Q25" s="264">
        <v>6</v>
      </c>
      <c r="R25" s="264" t="s">
        <v>1050</v>
      </c>
      <c r="S25" s="264"/>
      <c r="T25" s="264"/>
      <c r="U25" s="264" t="s">
        <v>651</v>
      </c>
      <c r="V25" s="264"/>
      <c r="W25" s="264"/>
      <c r="X25" s="264">
        <v>25</v>
      </c>
      <c r="Y25" s="264" t="s">
        <v>924</v>
      </c>
      <c r="Z25" s="264">
        <v>21</v>
      </c>
      <c r="AA25" s="66">
        <v>43595</v>
      </c>
      <c r="AB25" s="264">
        <v>3</v>
      </c>
      <c r="AC25" s="264" t="s">
        <v>720</v>
      </c>
      <c r="AD25" s="264">
        <v>19</v>
      </c>
      <c r="AE25" s="264" t="s">
        <v>1393</v>
      </c>
      <c r="AF25" s="264">
        <v>7</v>
      </c>
      <c r="AG25" s="264" t="s">
        <v>1464</v>
      </c>
      <c r="AH25" s="264">
        <v>3</v>
      </c>
      <c r="AI25" s="264" t="s">
        <v>751</v>
      </c>
      <c r="AJ25" s="264">
        <v>15</v>
      </c>
      <c r="AK25" s="66">
        <v>43570</v>
      </c>
      <c r="AL25" s="264"/>
      <c r="AM25" s="264"/>
      <c r="AN25" s="264">
        <v>4</v>
      </c>
      <c r="AO25" s="264" t="s">
        <v>736</v>
      </c>
      <c r="AP25" s="66">
        <v>43474</v>
      </c>
      <c r="AQ25" s="264">
        <v>1</v>
      </c>
      <c r="AR25" s="264"/>
      <c r="AS25" s="264">
        <v>3</v>
      </c>
      <c r="AT25" s="264" t="s">
        <v>678</v>
      </c>
      <c r="AU25" s="66">
        <v>43683</v>
      </c>
      <c r="AV25" s="264">
        <v>4</v>
      </c>
      <c r="AW25" s="264" t="s">
        <v>669</v>
      </c>
      <c r="AX25" s="264">
        <v>1</v>
      </c>
      <c r="AY25" s="264" t="s">
        <v>728</v>
      </c>
      <c r="AZ25" s="66">
        <v>43619</v>
      </c>
      <c r="BA25" s="264">
        <v>20</v>
      </c>
      <c r="BB25" s="264" t="s">
        <v>1023</v>
      </c>
      <c r="BC25" s="264" t="s">
        <v>837</v>
      </c>
      <c r="BD25" s="264">
        <v>15</v>
      </c>
      <c r="BE25" s="264" t="s">
        <v>688</v>
      </c>
      <c r="BF25" s="264" t="s">
        <v>1028</v>
      </c>
      <c r="BG25" s="264">
        <v>17</v>
      </c>
      <c r="BH25" s="264" t="s">
        <v>1052</v>
      </c>
      <c r="BI25" s="264" t="s">
        <v>947</v>
      </c>
      <c r="BJ25" s="264">
        <v>1</v>
      </c>
      <c r="BK25" s="264" t="s">
        <v>728</v>
      </c>
      <c r="BL25" s="66">
        <v>43619</v>
      </c>
      <c r="BM25" s="264">
        <v>1</v>
      </c>
      <c r="BN25" s="264" t="s">
        <v>651</v>
      </c>
      <c r="BO25" s="264"/>
      <c r="BP25" s="264">
        <v>1</v>
      </c>
      <c r="BQ25" s="264"/>
      <c r="BR25" s="264"/>
      <c r="BS25" s="264"/>
      <c r="BT25" s="264"/>
      <c r="BU25" s="264"/>
      <c r="BV25" s="264"/>
      <c r="BW25" s="264"/>
      <c r="BX25" s="264">
        <v>1</v>
      </c>
      <c r="BY25" s="264">
        <v>2</v>
      </c>
      <c r="BZ25" s="264"/>
      <c r="CA25" s="264" t="s">
        <v>651</v>
      </c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>
        <v>10</v>
      </c>
      <c r="CV25" s="264">
        <v>6</v>
      </c>
      <c r="CW25" s="264">
        <v>4</v>
      </c>
      <c r="CX25" s="264" t="s">
        <v>676</v>
      </c>
      <c r="CY25" s="264"/>
      <c r="CZ25" s="264">
        <v>3</v>
      </c>
      <c r="DA25" s="264"/>
      <c r="DB25" s="264" t="s">
        <v>651</v>
      </c>
      <c r="DC25" s="264"/>
      <c r="DD25" s="264"/>
      <c r="DE25" s="264"/>
      <c r="DF25" s="264">
        <v>1</v>
      </c>
      <c r="DG25" s="264"/>
      <c r="DH25" s="264">
        <v>1</v>
      </c>
      <c r="DI25" s="264"/>
      <c r="DJ25" s="264"/>
      <c r="DK25" s="264"/>
      <c r="DL25" s="264"/>
      <c r="DM25" s="264"/>
      <c r="DN25" s="264">
        <v>1</v>
      </c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 t="s">
        <v>650</v>
      </c>
      <c r="DZ25" s="264"/>
      <c r="EA25" s="264" t="s">
        <v>650</v>
      </c>
      <c r="EB25" s="264"/>
      <c r="EC25" s="264" t="s">
        <v>650</v>
      </c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 t="s">
        <v>649</v>
      </c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 t="s">
        <v>652</v>
      </c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 t="s">
        <v>37</v>
      </c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 t="s">
        <v>653</v>
      </c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 t="s">
        <v>654</v>
      </c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 t="s">
        <v>649</v>
      </c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 t="s">
        <v>655</v>
      </c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 t="s">
        <v>37</v>
      </c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>
        <v>33</v>
      </c>
      <c r="D27" s="264"/>
      <c r="E27" s="264">
        <v>30</v>
      </c>
      <c r="F27" s="264"/>
      <c r="G27" s="264">
        <v>33</v>
      </c>
      <c r="H27" s="264"/>
      <c r="I27" s="264">
        <v>30</v>
      </c>
      <c r="J27" s="264"/>
      <c r="K27" s="264">
        <v>7</v>
      </c>
      <c r="L27" s="264"/>
      <c r="M27" s="264"/>
      <c r="N27" s="264" t="s">
        <v>1118</v>
      </c>
      <c r="O27" s="264">
        <v>5</v>
      </c>
      <c r="P27" s="264"/>
      <c r="Q27" s="264">
        <v>13</v>
      </c>
      <c r="R27" s="264"/>
      <c r="S27" s="264"/>
      <c r="T27" s="264"/>
      <c r="U27" s="264" t="s">
        <v>651</v>
      </c>
      <c r="V27" s="264"/>
      <c r="W27" s="264"/>
      <c r="X27" s="264">
        <v>17</v>
      </c>
      <c r="Y27" s="264"/>
      <c r="Z27" s="264">
        <v>12</v>
      </c>
      <c r="AA27" s="264"/>
      <c r="AB27" s="264">
        <v>3</v>
      </c>
      <c r="AC27" s="264" t="s">
        <v>693</v>
      </c>
      <c r="AD27" s="264">
        <v>16</v>
      </c>
      <c r="AE27" s="264"/>
      <c r="AF27" s="264">
        <v>18</v>
      </c>
      <c r="AG27" s="264"/>
      <c r="AH27" s="264">
        <v>4</v>
      </c>
      <c r="AI27" s="264" t="s">
        <v>684</v>
      </c>
      <c r="AJ27" s="264">
        <v>9</v>
      </c>
      <c r="AK27" s="264"/>
      <c r="AL27" s="264"/>
      <c r="AM27" s="264"/>
      <c r="AN27" s="264">
        <v>6</v>
      </c>
      <c r="AO27" s="264"/>
      <c r="AP27" s="66">
        <v>43514</v>
      </c>
      <c r="AQ27" s="264">
        <v>1</v>
      </c>
      <c r="AR27" s="264"/>
      <c r="AS27" s="264">
        <v>3</v>
      </c>
      <c r="AT27" s="264"/>
      <c r="AU27" s="66">
        <v>43474</v>
      </c>
      <c r="AV27" s="264">
        <v>3</v>
      </c>
      <c r="AW27" s="264"/>
      <c r="AX27" s="264">
        <v>4</v>
      </c>
      <c r="AY27" s="264"/>
      <c r="AZ27" s="66">
        <v>43537</v>
      </c>
      <c r="BA27" s="264">
        <v>14</v>
      </c>
      <c r="BB27" s="264"/>
      <c r="BC27" s="264" t="s">
        <v>781</v>
      </c>
      <c r="BD27" s="264">
        <v>5</v>
      </c>
      <c r="BE27" s="264"/>
      <c r="BF27" s="66">
        <v>43662</v>
      </c>
      <c r="BG27" s="264">
        <v>16</v>
      </c>
      <c r="BH27" s="264"/>
      <c r="BI27" s="264" t="s">
        <v>694</v>
      </c>
      <c r="BJ27" s="264">
        <v>4</v>
      </c>
      <c r="BK27" s="264"/>
      <c r="BL27" s="66">
        <v>43537</v>
      </c>
      <c r="BM27" s="264">
        <v>4</v>
      </c>
      <c r="BN27" s="264" t="s">
        <v>651</v>
      </c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>
        <v>3</v>
      </c>
      <c r="BZ27" s="264"/>
      <c r="CA27" s="264" t="s">
        <v>651</v>
      </c>
      <c r="CB27" s="264"/>
      <c r="CC27" s="264">
        <v>1</v>
      </c>
      <c r="CD27" s="264"/>
      <c r="CE27" s="264" t="s">
        <v>651</v>
      </c>
      <c r="CF27" s="264">
        <v>1</v>
      </c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>
        <v>9</v>
      </c>
      <c r="CV27" s="264">
        <v>10</v>
      </c>
      <c r="CW27" s="264">
        <v>4</v>
      </c>
      <c r="CX27" s="264" t="s">
        <v>837</v>
      </c>
      <c r="CY27" s="264">
        <v>2</v>
      </c>
      <c r="CZ27" s="264">
        <v>1</v>
      </c>
      <c r="DA27" s="264"/>
      <c r="DB27" s="264" t="s">
        <v>651</v>
      </c>
      <c r="DC27" s="264"/>
      <c r="DD27" s="264"/>
      <c r="DE27" s="264"/>
      <c r="DF27" s="264">
        <v>2</v>
      </c>
      <c r="DG27" s="264">
        <v>1</v>
      </c>
      <c r="DH27" s="264">
        <v>1</v>
      </c>
      <c r="DI27" s="264" t="s">
        <v>657</v>
      </c>
      <c r="DJ27" s="264"/>
      <c r="DK27" s="264"/>
      <c r="DL27" s="264"/>
      <c r="DM27" s="264"/>
      <c r="DN27" s="264">
        <v>1</v>
      </c>
      <c r="DO27" s="264"/>
      <c r="DP27" s="264"/>
      <c r="DQ27" s="264"/>
      <c r="DR27" s="264"/>
      <c r="DS27" s="264"/>
      <c r="DT27" s="264"/>
      <c r="DU27" s="264"/>
      <c r="DV27" s="264"/>
      <c r="DW27" s="264"/>
      <c r="DX27" s="264">
        <v>7</v>
      </c>
      <c r="DY27" s="264"/>
      <c r="DZ27" s="264">
        <v>7</v>
      </c>
      <c r="EA27" s="264"/>
      <c r="EB27" s="264">
        <v>7</v>
      </c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>
        <v>29</v>
      </c>
      <c r="D28" s="264" t="s">
        <v>797</v>
      </c>
      <c r="E28" s="264">
        <v>23</v>
      </c>
      <c r="F28" s="264" t="s">
        <v>1344</v>
      </c>
      <c r="G28" s="264">
        <v>29</v>
      </c>
      <c r="H28" s="264" t="s">
        <v>797</v>
      </c>
      <c r="I28" s="264">
        <v>23</v>
      </c>
      <c r="J28" s="264" t="s">
        <v>1344</v>
      </c>
      <c r="K28" s="264">
        <v>6</v>
      </c>
      <c r="L28" s="264" t="s">
        <v>673</v>
      </c>
      <c r="M28" s="264"/>
      <c r="N28" s="264" t="s">
        <v>680</v>
      </c>
      <c r="O28" s="264">
        <v>2</v>
      </c>
      <c r="P28" s="264" t="s">
        <v>723</v>
      </c>
      <c r="Q28" s="264">
        <v>6</v>
      </c>
      <c r="R28" s="264" t="s">
        <v>1044</v>
      </c>
      <c r="S28" s="264"/>
      <c r="T28" s="264"/>
      <c r="U28" s="264" t="s">
        <v>651</v>
      </c>
      <c r="V28" s="264"/>
      <c r="W28" s="264"/>
      <c r="X28" s="264">
        <v>19</v>
      </c>
      <c r="Y28" s="66">
        <v>43688</v>
      </c>
      <c r="Z28" s="264">
        <v>16</v>
      </c>
      <c r="AA28" s="264" t="s">
        <v>714</v>
      </c>
      <c r="AB28" s="264">
        <v>3</v>
      </c>
      <c r="AC28" s="264" t="s">
        <v>1085</v>
      </c>
      <c r="AD28" s="264">
        <v>10</v>
      </c>
      <c r="AE28" s="264" t="s">
        <v>715</v>
      </c>
      <c r="AF28" s="264">
        <v>7</v>
      </c>
      <c r="AG28" s="264" t="s">
        <v>1049</v>
      </c>
      <c r="AH28" s="264">
        <v>3</v>
      </c>
      <c r="AI28" s="264" t="s">
        <v>751</v>
      </c>
      <c r="AJ28" s="264">
        <v>10</v>
      </c>
      <c r="AK28" s="66">
        <v>43476</v>
      </c>
      <c r="AL28" s="264"/>
      <c r="AM28" s="264"/>
      <c r="AN28" s="264">
        <v>2</v>
      </c>
      <c r="AO28" s="264" t="s">
        <v>743</v>
      </c>
      <c r="AP28" s="66">
        <v>43714</v>
      </c>
      <c r="AQ28" s="264">
        <v>1</v>
      </c>
      <c r="AR28" s="264"/>
      <c r="AS28" s="264">
        <v>2</v>
      </c>
      <c r="AT28" s="264" t="s">
        <v>677</v>
      </c>
      <c r="AU28" s="66">
        <v>43714</v>
      </c>
      <c r="AV28" s="264">
        <v>1</v>
      </c>
      <c r="AW28" s="264" t="s">
        <v>743</v>
      </c>
      <c r="AX28" s="264"/>
      <c r="AY28" s="264" t="s">
        <v>650</v>
      </c>
      <c r="AZ28" s="264"/>
      <c r="BA28" s="264">
        <v>16</v>
      </c>
      <c r="BB28" s="66">
        <v>43538</v>
      </c>
      <c r="BC28" s="264" t="s">
        <v>1372</v>
      </c>
      <c r="BD28" s="264">
        <v>13</v>
      </c>
      <c r="BE28" s="264" t="s">
        <v>881</v>
      </c>
      <c r="BF28" s="264" t="s">
        <v>656</v>
      </c>
      <c r="BG28" s="264">
        <v>13</v>
      </c>
      <c r="BH28" s="264" t="s">
        <v>922</v>
      </c>
      <c r="BI28" s="264" t="s">
        <v>656</v>
      </c>
      <c r="BJ28" s="264">
        <v>1</v>
      </c>
      <c r="BK28" s="264" t="s">
        <v>728</v>
      </c>
      <c r="BL28" s="66">
        <v>43528</v>
      </c>
      <c r="BM28" s="264">
        <v>1</v>
      </c>
      <c r="BN28" s="264" t="s">
        <v>651</v>
      </c>
      <c r="BO28" s="264"/>
      <c r="BP28" s="264"/>
      <c r="BQ28" s="264"/>
      <c r="BR28" s="264"/>
      <c r="BS28" s="264"/>
      <c r="BT28" s="264"/>
      <c r="BU28" s="264"/>
      <c r="BV28" s="264"/>
      <c r="BW28" s="264"/>
      <c r="BX28" s="264">
        <v>1</v>
      </c>
      <c r="BY28" s="264">
        <v>2</v>
      </c>
      <c r="BZ28" s="264"/>
      <c r="CA28" s="264" t="s">
        <v>651</v>
      </c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>
        <v>7</v>
      </c>
      <c r="CV28" s="264">
        <v>6</v>
      </c>
      <c r="CW28" s="264">
        <v>4</v>
      </c>
      <c r="CX28" s="264" t="s">
        <v>676</v>
      </c>
      <c r="CY28" s="264"/>
      <c r="CZ28" s="264">
        <v>3</v>
      </c>
      <c r="DA28" s="264"/>
      <c r="DB28" s="264" t="s">
        <v>651</v>
      </c>
      <c r="DC28" s="264"/>
      <c r="DD28" s="264"/>
      <c r="DE28" s="264"/>
      <c r="DF28" s="264">
        <v>1</v>
      </c>
      <c r="DG28" s="264"/>
      <c r="DH28" s="264">
        <v>1</v>
      </c>
      <c r="DI28" s="264"/>
      <c r="DJ28" s="264"/>
      <c r="DK28" s="264"/>
      <c r="DL28" s="264"/>
      <c r="DM28" s="264"/>
      <c r="DN28" s="264">
        <v>1</v>
      </c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 t="s">
        <v>650</v>
      </c>
      <c r="DZ28" s="264"/>
      <c r="EA28" s="264" t="s">
        <v>650</v>
      </c>
      <c r="EB28" s="264"/>
      <c r="EC28" s="264" t="s">
        <v>650</v>
      </c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 t="s">
        <v>649</v>
      </c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 t="s">
        <v>652</v>
      </c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 t="s">
        <v>37</v>
      </c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 t="s">
        <v>653</v>
      </c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 t="s">
        <v>654</v>
      </c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 t="s">
        <v>649</v>
      </c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 t="s">
        <v>655</v>
      </c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 t="s">
        <v>37</v>
      </c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>
        <v>12</v>
      </c>
      <c r="D30" s="264"/>
      <c r="E30" s="264">
        <v>12</v>
      </c>
      <c r="F30" s="264"/>
      <c r="G30" s="264">
        <v>12</v>
      </c>
      <c r="H30" s="264"/>
      <c r="I30" s="264">
        <v>12</v>
      </c>
      <c r="J30" s="264"/>
      <c r="K30" s="264"/>
      <c r="L30" s="264"/>
      <c r="M30" s="264"/>
      <c r="N30" s="264" t="s">
        <v>651</v>
      </c>
      <c r="O30" s="264">
        <v>6</v>
      </c>
      <c r="P30" s="264"/>
      <c r="Q30" s="264">
        <v>1</v>
      </c>
      <c r="R30" s="264"/>
      <c r="S30" s="264"/>
      <c r="T30" s="264"/>
      <c r="U30" s="264" t="s">
        <v>651</v>
      </c>
      <c r="V30" s="264"/>
      <c r="W30" s="264"/>
      <c r="X30" s="264">
        <v>4</v>
      </c>
      <c r="Y30" s="264"/>
      <c r="Z30" s="264">
        <v>7</v>
      </c>
      <c r="AA30" s="264"/>
      <c r="AB30" s="264"/>
      <c r="AC30" s="264" t="s">
        <v>651</v>
      </c>
      <c r="AD30" s="264">
        <v>8</v>
      </c>
      <c r="AE30" s="264"/>
      <c r="AF30" s="264">
        <v>5</v>
      </c>
      <c r="AG30" s="264"/>
      <c r="AH30" s="264"/>
      <c r="AI30" s="264" t="s">
        <v>651</v>
      </c>
      <c r="AJ30" s="264">
        <v>4</v>
      </c>
      <c r="AK30" s="264"/>
      <c r="AL30" s="264"/>
      <c r="AM30" s="264"/>
      <c r="AN30" s="264">
        <v>3</v>
      </c>
      <c r="AO30" s="264"/>
      <c r="AP30" s="264" t="s">
        <v>688</v>
      </c>
      <c r="AQ30" s="264"/>
      <c r="AR30" s="264"/>
      <c r="AS30" s="264">
        <v>3</v>
      </c>
      <c r="AT30" s="264"/>
      <c r="AU30" s="264" t="s">
        <v>688</v>
      </c>
      <c r="AV30" s="264">
        <v>2</v>
      </c>
      <c r="AW30" s="264"/>
      <c r="AX30" s="264"/>
      <c r="AY30" s="264"/>
      <c r="AZ30" s="264"/>
      <c r="BA30" s="264">
        <v>8</v>
      </c>
      <c r="BB30" s="264"/>
      <c r="BC30" s="264" t="s">
        <v>667</v>
      </c>
      <c r="BD30" s="264">
        <v>7</v>
      </c>
      <c r="BE30" s="264"/>
      <c r="BF30" s="264" t="s">
        <v>725</v>
      </c>
      <c r="BG30" s="264">
        <v>6</v>
      </c>
      <c r="BH30" s="264"/>
      <c r="BI30" s="264" t="s">
        <v>657</v>
      </c>
      <c r="BJ30" s="264"/>
      <c r="BK30" s="264"/>
      <c r="BL30" s="264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>
        <v>1</v>
      </c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>
        <v>1</v>
      </c>
      <c r="CK30" s="264"/>
      <c r="CL30" s="264"/>
      <c r="CM30" s="264"/>
      <c r="CN30" s="264"/>
      <c r="CO30" s="264"/>
      <c r="CP30" s="264"/>
      <c r="CQ30" s="264">
        <v>1</v>
      </c>
      <c r="CR30" s="264"/>
      <c r="CS30" s="264"/>
      <c r="CT30" s="264"/>
      <c r="CU30" s="264">
        <v>3</v>
      </c>
      <c r="CV30" s="264">
        <v>6</v>
      </c>
      <c r="CW30" s="264"/>
      <c r="CX30" s="264" t="s">
        <v>651</v>
      </c>
      <c r="CY30" s="264">
        <v>2</v>
      </c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>
        <v>15</v>
      </c>
      <c r="D31" s="264" t="s">
        <v>688</v>
      </c>
      <c r="E31" s="264">
        <v>5</v>
      </c>
      <c r="F31" s="264" t="s">
        <v>1068</v>
      </c>
      <c r="G31" s="264">
        <v>15</v>
      </c>
      <c r="H31" s="264" t="s">
        <v>688</v>
      </c>
      <c r="I31" s="264">
        <v>5</v>
      </c>
      <c r="J31" s="264" t="s">
        <v>1068</v>
      </c>
      <c r="K31" s="264"/>
      <c r="L31" s="264"/>
      <c r="M31" s="264"/>
      <c r="N31" s="264" t="s">
        <v>651</v>
      </c>
      <c r="O31" s="264">
        <v>3</v>
      </c>
      <c r="P31" s="264" t="s">
        <v>678</v>
      </c>
      <c r="Q31" s="264"/>
      <c r="R31" s="264" t="s">
        <v>650</v>
      </c>
      <c r="S31" s="264"/>
      <c r="T31" s="264"/>
      <c r="U31" s="264"/>
      <c r="V31" s="264"/>
      <c r="W31" s="264"/>
      <c r="X31" s="264">
        <v>6</v>
      </c>
      <c r="Y31" s="264" t="s">
        <v>657</v>
      </c>
      <c r="Z31" s="264">
        <v>5</v>
      </c>
      <c r="AA31" s="264" t="s">
        <v>737</v>
      </c>
      <c r="AB31" s="264"/>
      <c r="AC31" s="264" t="s">
        <v>651</v>
      </c>
      <c r="AD31" s="264">
        <v>9</v>
      </c>
      <c r="AE31" s="66">
        <v>43597</v>
      </c>
      <c r="AF31" s="264"/>
      <c r="AG31" s="264" t="s">
        <v>650</v>
      </c>
      <c r="AH31" s="264"/>
      <c r="AI31" s="264"/>
      <c r="AJ31" s="264">
        <v>5</v>
      </c>
      <c r="AK31" s="264" t="s">
        <v>688</v>
      </c>
      <c r="AL31" s="264"/>
      <c r="AM31" s="264"/>
      <c r="AN31" s="264">
        <v>2</v>
      </c>
      <c r="AO31" s="264" t="s">
        <v>677</v>
      </c>
      <c r="AP31" s="66">
        <v>43537</v>
      </c>
      <c r="AQ31" s="264"/>
      <c r="AR31" s="264"/>
      <c r="AS31" s="264">
        <v>1</v>
      </c>
      <c r="AT31" s="264" t="s">
        <v>743</v>
      </c>
      <c r="AU31" s="66">
        <v>43652</v>
      </c>
      <c r="AV31" s="264">
        <v>3</v>
      </c>
      <c r="AW31" s="264" t="s">
        <v>657</v>
      </c>
      <c r="AX31" s="264">
        <v>1</v>
      </c>
      <c r="AY31" s="264" t="s">
        <v>651</v>
      </c>
      <c r="AZ31" s="264" t="s">
        <v>690</v>
      </c>
      <c r="BA31" s="264">
        <v>4</v>
      </c>
      <c r="BB31" s="264" t="s">
        <v>678</v>
      </c>
      <c r="BC31" s="264" t="s">
        <v>693</v>
      </c>
      <c r="BD31" s="264">
        <v>2</v>
      </c>
      <c r="BE31" s="264" t="s">
        <v>703</v>
      </c>
      <c r="BF31" s="264" t="s">
        <v>696</v>
      </c>
      <c r="BG31" s="264">
        <v>4</v>
      </c>
      <c r="BH31" s="264" t="s">
        <v>677</v>
      </c>
      <c r="BI31" s="264" t="s">
        <v>693</v>
      </c>
      <c r="BJ31" s="264"/>
      <c r="BK31" s="264"/>
      <c r="BL31" s="264"/>
      <c r="BM31" s="264"/>
      <c r="BN31" s="264"/>
      <c r="BO31" s="264"/>
      <c r="BP31" s="264">
        <v>1</v>
      </c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>
        <v>3</v>
      </c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 t="s">
        <v>649</v>
      </c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 t="s">
        <v>652</v>
      </c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 t="s">
        <v>37</v>
      </c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 t="s">
        <v>653</v>
      </c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 t="s">
        <v>654</v>
      </c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 t="s">
        <v>649</v>
      </c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 t="s">
        <v>655</v>
      </c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 t="s">
        <v>37</v>
      </c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>
        <v>138</v>
      </c>
      <c r="D33" s="264"/>
      <c r="E33" s="264">
        <v>66</v>
      </c>
      <c r="F33" s="264"/>
      <c r="G33" s="264">
        <v>138</v>
      </c>
      <c r="H33" s="264"/>
      <c r="I33" s="264">
        <v>66</v>
      </c>
      <c r="J33" s="264"/>
      <c r="K33" s="264">
        <v>44</v>
      </c>
      <c r="L33" s="264"/>
      <c r="M33" s="264"/>
      <c r="N33" s="264" t="s">
        <v>676</v>
      </c>
      <c r="O33" s="264">
        <v>29</v>
      </c>
      <c r="P33" s="264"/>
      <c r="Q33" s="264">
        <v>10</v>
      </c>
      <c r="R33" s="264"/>
      <c r="S33" s="264">
        <v>6</v>
      </c>
      <c r="T33" s="264"/>
      <c r="U33" s="264" t="s">
        <v>713</v>
      </c>
      <c r="V33" s="264">
        <v>16</v>
      </c>
      <c r="W33" s="66">
        <v>43589</v>
      </c>
      <c r="X33" s="264">
        <v>53</v>
      </c>
      <c r="Y33" s="264"/>
      <c r="Z33" s="264">
        <v>46</v>
      </c>
      <c r="AA33" s="264"/>
      <c r="AB33" s="264">
        <v>12</v>
      </c>
      <c r="AC33" s="264" t="s">
        <v>680</v>
      </c>
      <c r="AD33" s="264">
        <v>85</v>
      </c>
      <c r="AE33" s="264"/>
      <c r="AF33" s="264">
        <v>20</v>
      </c>
      <c r="AG33" s="264"/>
      <c r="AH33" s="264">
        <v>32</v>
      </c>
      <c r="AI33" s="264" t="s">
        <v>938</v>
      </c>
      <c r="AJ33" s="264">
        <v>23</v>
      </c>
      <c r="AK33" s="264"/>
      <c r="AL33" s="264"/>
      <c r="AM33" s="264"/>
      <c r="AN33" s="264">
        <v>43</v>
      </c>
      <c r="AO33" s="264"/>
      <c r="AP33" s="264" t="s">
        <v>932</v>
      </c>
      <c r="AQ33" s="264">
        <v>6</v>
      </c>
      <c r="AR33" s="264"/>
      <c r="AS33" s="264">
        <v>22</v>
      </c>
      <c r="AT33" s="264"/>
      <c r="AU33" s="66">
        <v>43723</v>
      </c>
      <c r="AV33" s="264">
        <v>16</v>
      </c>
      <c r="AW33" s="264"/>
      <c r="AX33" s="264">
        <v>4</v>
      </c>
      <c r="AY33" s="264"/>
      <c r="AZ33" s="66">
        <v>43471</v>
      </c>
      <c r="BA33" s="264">
        <v>41</v>
      </c>
      <c r="BB33" s="264"/>
      <c r="BC33" s="264" t="s">
        <v>808</v>
      </c>
      <c r="BD33" s="264">
        <v>33</v>
      </c>
      <c r="BE33" s="264"/>
      <c r="BF33" s="264" t="s">
        <v>657</v>
      </c>
      <c r="BG33" s="264">
        <v>47</v>
      </c>
      <c r="BH33" s="264"/>
      <c r="BI33" s="264" t="s">
        <v>857</v>
      </c>
      <c r="BJ33" s="264">
        <v>4</v>
      </c>
      <c r="BK33" s="264"/>
      <c r="BL33" s="66">
        <v>43471</v>
      </c>
      <c r="BM33" s="264">
        <v>4</v>
      </c>
      <c r="BN33" s="264" t="s">
        <v>651</v>
      </c>
      <c r="BO33" s="264"/>
      <c r="BP33" s="264"/>
      <c r="BQ33" s="264">
        <v>2</v>
      </c>
      <c r="BR33" s="264"/>
      <c r="BS33" s="264" t="s">
        <v>651</v>
      </c>
      <c r="BT33" s="264"/>
      <c r="BU33" s="264"/>
      <c r="BV33" s="264"/>
      <c r="BW33" s="264"/>
      <c r="BX33" s="264">
        <v>3</v>
      </c>
      <c r="BY33" s="264">
        <v>2</v>
      </c>
      <c r="BZ33" s="264"/>
      <c r="CA33" s="264" t="s">
        <v>651</v>
      </c>
      <c r="CB33" s="264"/>
      <c r="CC33" s="264"/>
      <c r="CD33" s="264"/>
      <c r="CE33" s="264"/>
      <c r="CF33" s="264"/>
      <c r="CG33" s="264"/>
      <c r="CH33" s="264"/>
      <c r="CI33" s="264"/>
      <c r="CJ33" s="264">
        <v>2</v>
      </c>
      <c r="CK33" s="264">
        <v>2</v>
      </c>
      <c r="CL33" s="264"/>
      <c r="CM33" s="264" t="s">
        <v>651</v>
      </c>
      <c r="CN33" s="264"/>
      <c r="CO33" s="264"/>
      <c r="CP33" s="264"/>
      <c r="CQ33" s="264">
        <v>2</v>
      </c>
      <c r="CR33" s="264"/>
      <c r="CS33" s="264">
        <v>1</v>
      </c>
      <c r="CT33" s="264"/>
      <c r="CU33" s="264">
        <v>64</v>
      </c>
      <c r="CV33" s="264">
        <v>11</v>
      </c>
      <c r="CW33" s="264">
        <v>24</v>
      </c>
      <c r="CX33" s="264" t="s">
        <v>1004</v>
      </c>
      <c r="CY33" s="264">
        <v>6</v>
      </c>
      <c r="CZ33" s="264"/>
      <c r="DA33" s="264"/>
      <c r="DB33" s="264"/>
      <c r="DC33" s="264"/>
      <c r="DD33" s="264"/>
      <c r="DE33" s="264"/>
      <c r="DF33" s="264">
        <v>15</v>
      </c>
      <c r="DG33" s="264">
        <v>1</v>
      </c>
      <c r="DH33" s="264">
        <v>13</v>
      </c>
      <c r="DI33" s="66">
        <v>43472</v>
      </c>
      <c r="DJ33" s="264"/>
      <c r="DK33" s="264"/>
      <c r="DL33" s="264"/>
      <c r="DM33" s="264"/>
      <c r="DN33" s="264"/>
      <c r="DO33" s="264">
        <v>2</v>
      </c>
      <c r="DP33" s="264"/>
      <c r="DQ33" s="264" t="s">
        <v>651</v>
      </c>
      <c r="DR33" s="264">
        <v>3</v>
      </c>
      <c r="DS33" s="264"/>
      <c r="DT33" s="264">
        <v>3</v>
      </c>
      <c r="DU33" s="264"/>
      <c r="DV33" s="264">
        <v>2</v>
      </c>
      <c r="DW33" s="264"/>
      <c r="DX33" s="264">
        <v>2</v>
      </c>
      <c r="DY33" s="264"/>
      <c r="DZ33" s="264">
        <v>1</v>
      </c>
      <c r="EA33" s="264"/>
      <c r="EB33" s="264"/>
      <c r="EC33" s="264"/>
      <c r="ED33" s="264" t="s">
        <v>651</v>
      </c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>
        <v>147</v>
      </c>
      <c r="D34" s="66">
        <v>43591</v>
      </c>
      <c r="E34" s="264">
        <v>74</v>
      </c>
      <c r="F34" s="66">
        <v>43477</v>
      </c>
      <c r="G34" s="264">
        <v>147</v>
      </c>
      <c r="H34" s="66">
        <v>43591</v>
      </c>
      <c r="I34" s="264">
        <v>74</v>
      </c>
      <c r="J34" s="66">
        <v>43477</v>
      </c>
      <c r="K34" s="264">
        <v>61</v>
      </c>
      <c r="L34" s="264" t="s">
        <v>973</v>
      </c>
      <c r="M34" s="264">
        <v>1</v>
      </c>
      <c r="N34" s="264" t="s">
        <v>830</v>
      </c>
      <c r="O34" s="264">
        <v>33</v>
      </c>
      <c r="P34" s="66">
        <v>43690</v>
      </c>
      <c r="Q34" s="264">
        <v>15</v>
      </c>
      <c r="R34" s="264" t="s">
        <v>657</v>
      </c>
      <c r="S34" s="264">
        <v>8</v>
      </c>
      <c r="T34" s="264" t="s">
        <v>714</v>
      </c>
      <c r="U34" s="264" t="s">
        <v>695</v>
      </c>
      <c r="V34" s="264">
        <v>9</v>
      </c>
      <c r="W34" s="66">
        <v>43618</v>
      </c>
      <c r="X34" s="264">
        <v>59</v>
      </c>
      <c r="Y34" s="66">
        <v>43535</v>
      </c>
      <c r="Z34" s="264">
        <v>35</v>
      </c>
      <c r="AA34" s="264" t="s">
        <v>1413</v>
      </c>
      <c r="AB34" s="264">
        <v>11</v>
      </c>
      <c r="AC34" s="264" t="s">
        <v>1379</v>
      </c>
      <c r="AD34" s="264">
        <v>88</v>
      </c>
      <c r="AE34" s="66">
        <v>43588</v>
      </c>
      <c r="AF34" s="264">
        <v>39</v>
      </c>
      <c r="AG34" s="264" t="s">
        <v>1020</v>
      </c>
      <c r="AH34" s="264">
        <v>50</v>
      </c>
      <c r="AI34" s="264" t="s">
        <v>976</v>
      </c>
      <c r="AJ34" s="264">
        <v>30</v>
      </c>
      <c r="AK34" s="66">
        <v>43585</v>
      </c>
      <c r="AL34" s="264"/>
      <c r="AM34" s="264"/>
      <c r="AN34" s="264">
        <v>44</v>
      </c>
      <c r="AO34" s="66">
        <v>43526</v>
      </c>
      <c r="AP34" s="66">
        <v>43737</v>
      </c>
      <c r="AQ34" s="264">
        <v>5</v>
      </c>
      <c r="AR34" s="264" t="s">
        <v>692</v>
      </c>
      <c r="AS34" s="264">
        <v>32</v>
      </c>
      <c r="AT34" s="264" t="s">
        <v>801</v>
      </c>
      <c r="AU34" s="66">
        <v>43698</v>
      </c>
      <c r="AV34" s="264">
        <v>17</v>
      </c>
      <c r="AW34" s="66">
        <v>43502</v>
      </c>
      <c r="AX34" s="264">
        <v>6</v>
      </c>
      <c r="AY34" s="264" t="s">
        <v>657</v>
      </c>
      <c r="AZ34" s="66">
        <v>43473</v>
      </c>
      <c r="BA34" s="264">
        <v>35</v>
      </c>
      <c r="BB34" s="264" t="s">
        <v>1172</v>
      </c>
      <c r="BC34" s="264" t="s">
        <v>1358</v>
      </c>
      <c r="BD34" s="264">
        <v>28</v>
      </c>
      <c r="BE34" s="264" t="s">
        <v>1395</v>
      </c>
      <c r="BF34" s="264" t="s">
        <v>1016</v>
      </c>
      <c r="BG34" s="264">
        <v>56</v>
      </c>
      <c r="BH34" s="66">
        <v>43484</v>
      </c>
      <c r="BI34" s="264" t="s">
        <v>995</v>
      </c>
      <c r="BJ34" s="264">
        <v>14</v>
      </c>
      <c r="BK34" s="264" t="s">
        <v>747</v>
      </c>
      <c r="BL34" s="66">
        <v>43726</v>
      </c>
      <c r="BM34" s="264">
        <v>12</v>
      </c>
      <c r="BN34" s="264" t="s">
        <v>660</v>
      </c>
      <c r="BO34" s="264">
        <v>2</v>
      </c>
      <c r="BP34" s="264">
        <v>4</v>
      </c>
      <c r="BQ34" s="264">
        <v>2</v>
      </c>
      <c r="BR34" s="264"/>
      <c r="BS34" s="264" t="s">
        <v>651</v>
      </c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>
        <v>1</v>
      </c>
      <c r="CH34" s="264"/>
      <c r="CI34" s="264" t="s">
        <v>651</v>
      </c>
      <c r="CJ34" s="264">
        <v>2</v>
      </c>
      <c r="CK34" s="264">
        <v>1</v>
      </c>
      <c r="CL34" s="264"/>
      <c r="CM34" s="264" t="s">
        <v>651</v>
      </c>
      <c r="CN34" s="264"/>
      <c r="CO34" s="264"/>
      <c r="CP34" s="264"/>
      <c r="CQ34" s="264">
        <v>2</v>
      </c>
      <c r="CR34" s="264"/>
      <c r="CS34" s="264">
        <v>2</v>
      </c>
      <c r="CT34" s="264"/>
      <c r="CU34" s="264">
        <v>57</v>
      </c>
      <c r="CV34" s="264">
        <v>29</v>
      </c>
      <c r="CW34" s="264">
        <v>46</v>
      </c>
      <c r="CX34" s="264" t="s">
        <v>887</v>
      </c>
      <c r="CY34" s="264">
        <v>3</v>
      </c>
      <c r="CZ34" s="264">
        <v>3</v>
      </c>
      <c r="DA34" s="264">
        <v>1</v>
      </c>
      <c r="DB34" s="264" t="s">
        <v>734</v>
      </c>
      <c r="DC34" s="264"/>
      <c r="DD34" s="264">
        <v>1</v>
      </c>
      <c r="DE34" s="264"/>
      <c r="DF34" s="264">
        <v>9</v>
      </c>
      <c r="DG34" s="264">
        <v>1</v>
      </c>
      <c r="DH34" s="264">
        <v>8</v>
      </c>
      <c r="DI34" s="66">
        <v>43476</v>
      </c>
      <c r="DJ34" s="264">
        <v>3</v>
      </c>
      <c r="DK34" s="264">
        <v>1</v>
      </c>
      <c r="DL34" s="264"/>
      <c r="DM34" s="264" t="s">
        <v>651</v>
      </c>
      <c r="DN34" s="264">
        <v>1</v>
      </c>
      <c r="DO34" s="264"/>
      <c r="DP34" s="264"/>
      <c r="DQ34" s="264"/>
      <c r="DR34" s="264">
        <v>2</v>
      </c>
      <c r="DS34" s="264" t="s">
        <v>677</v>
      </c>
      <c r="DT34" s="264">
        <v>2</v>
      </c>
      <c r="DU34" s="264" t="s">
        <v>677</v>
      </c>
      <c r="DV34" s="264">
        <v>1</v>
      </c>
      <c r="DW34" s="264" t="s">
        <v>678</v>
      </c>
      <c r="DX34" s="264">
        <v>4</v>
      </c>
      <c r="DY34" s="264" t="s">
        <v>651</v>
      </c>
      <c r="DZ34" s="264">
        <v>4</v>
      </c>
      <c r="EA34" s="264" t="s">
        <v>731</v>
      </c>
      <c r="EB34" s="264">
        <v>2</v>
      </c>
      <c r="EC34" s="264" t="s">
        <v>651</v>
      </c>
      <c r="ED34" s="264"/>
      <c r="EE34" s="264">
        <v>1</v>
      </c>
      <c r="EF34" s="264">
        <v>1</v>
      </c>
      <c r="EG34" s="264"/>
      <c r="EH34" s="264"/>
      <c r="EI34" s="264"/>
      <c r="EJ34" s="264"/>
      <c r="EK34" s="264"/>
      <c r="EL34" s="264"/>
      <c r="EM34" s="264"/>
      <c r="EN34" s="264">
        <v>1</v>
      </c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 t="s">
        <v>649</v>
      </c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 t="s">
        <v>652</v>
      </c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 t="s">
        <v>37</v>
      </c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 t="s">
        <v>653</v>
      </c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 t="s">
        <v>654</v>
      </c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 t="s">
        <v>649</v>
      </c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 t="s">
        <v>655</v>
      </c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 t="s">
        <v>37</v>
      </c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>
        <v>39</v>
      </c>
      <c r="D36" s="264"/>
      <c r="E36" s="264">
        <v>36</v>
      </c>
      <c r="F36" s="264"/>
      <c r="G36" s="264">
        <v>39</v>
      </c>
      <c r="H36" s="264"/>
      <c r="I36" s="264">
        <v>36</v>
      </c>
      <c r="J36" s="264"/>
      <c r="K36" s="264">
        <v>5</v>
      </c>
      <c r="L36" s="264"/>
      <c r="M36" s="264"/>
      <c r="N36" s="264" t="s">
        <v>716</v>
      </c>
      <c r="O36" s="264">
        <v>4</v>
      </c>
      <c r="P36" s="264"/>
      <c r="Q36" s="264">
        <v>9</v>
      </c>
      <c r="R36" s="264"/>
      <c r="S36" s="264">
        <v>1</v>
      </c>
      <c r="T36" s="264"/>
      <c r="U36" s="264" t="s">
        <v>749</v>
      </c>
      <c r="V36" s="264"/>
      <c r="W36" s="264"/>
      <c r="X36" s="264">
        <v>28</v>
      </c>
      <c r="Y36" s="264"/>
      <c r="Z36" s="264">
        <v>23</v>
      </c>
      <c r="AA36" s="264"/>
      <c r="AB36" s="264">
        <v>1</v>
      </c>
      <c r="AC36" s="264" t="s">
        <v>1076</v>
      </c>
      <c r="AD36" s="264">
        <v>11</v>
      </c>
      <c r="AE36" s="264"/>
      <c r="AF36" s="264">
        <v>13</v>
      </c>
      <c r="AG36" s="264"/>
      <c r="AH36" s="264">
        <v>4</v>
      </c>
      <c r="AI36" s="264" t="s">
        <v>792</v>
      </c>
      <c r="AJ36" s="264">
        <v>15</v>
      </c>
      <c r="AK36" s="264"/>
      <c r="AL36" s="264"/>
      <c r="AM36" s="264"/>
      <c r="AN36" s="264">
        <v>11</v>
      </c>
      <c r="AO36" s="264"/>
      <c r="AP36" s="66">
        <v>43524</v>
      </c>
      <c r="AQ36" s="264"/>
      <c r="AR36" s="264"/>
      <c r="AS36" s="264">
        <v>9</v>
      </c>
      <c r="AT36" s="264"/>
      <c r="AU36" s="66">
        <v>43488</v>
      </c>
      <c r="AV36" s="264">
        <v>2</v>
      </c>
      <c r="AW36" s="264"/>
      <c r="AX36" s="264"/>
      <c r="AY36" s="264"/>
      <c r="AZ36" s="264"/>
      <c r="BA36" s="264">
        <v>26</v>
      </c>
      <c r="BB36" s="264"/>
      <c r="BC36" s="264" t="s">
        <v>779</v>
      </c>
      <c r="BD36" s="264">
        <v>19</v>
      </c>
      <c r="BE36" s="264"/>
      <c r="BF36" s="264" t="s">
        <v>925</v>
      </c>
      <c r="BG36" s="264">
        <v>25</v>
      </c>
      <c r="BH36" s="264"/>
      <c r="BI36" s="264" t="s">
        <v>984</v>
      </c>
      <c r="BJ36" s="264">
        <v>1</v>
      </c>
      <c r="BK36" s="264"/>
      <c r="BL36" s="66">
        <v>43679</v>
      </c>
      <c r="BM36" s="264">
        <v>1</v>
      </c>
      <c r="BN36" s="264" t="s">
        <v>651</v>
      </c>
      <c r="BO36" s="264"/>
      <c r="BP36" s="264"/>
      <c r="BQ36" s="264"/>
      <c r="BR36" s="264"/>
      <c r="BS36" s="264"/>
      <c r="BT36" s="264"/>
      <c r="BU36" s="264"/>
      <c r="BV36" s="264"/>
      <c r="BW36" s="264"/>
      <c r="BX36" s="264">
        <v>1</v>
      </c>
      <c r="BY36" s="264">
        <v>3</v>
      </c>
      <c r="BZ36" s="264"/>
      <c r="CA36" s="264" t="s">
        <v>651</v>
      </c>
      <c r="CB36" s="264"/>
      <c r="CC36" s="264"/>
      <c r="CD36" s="264"/>
      <c r="CE36" s="264"/>
      <c r="CF36" s="264"/>
      <c r="CG36" s="264"/>
      <c r="CH36" s="264"/>
      <c r="CI36" s="264"/>
      <c r="CJ36" s="264">
        <v>1</v>
      </c>
      <c r="CK36" s="264">
        <v>1</v>
      </c>
      <c r="CL36" s="264"/>
      <c r="CM36" s="264" t="s">
        <v>651</v>
      </c>
      <c r="CN36" s="264"/>
      <c r="CO36" s="264"/>
      <c r="CP36" s="264"/>
      <c r="CQ36" s="264"/>
      <c r="CR36" s="264"/>
      <c r="CS36" s="264"/>
      <c r="CT36" s="264"/>
      <c r="CU36" s="264">
        <v>6</v>
      </c>
      <c r="CV36" s="264">
        <v>5</v>
      </c>
      <c r="CW36" s="264">
        <v>5</v>
      </c>
      <c r="CX36" s="264" t="s">
        <v>657</v>
      </c>
      <c r="CY36" s="264"/>
      <c r="CZ36" s="264">
        <v>2</v>
      </c>
      <c r="DA36" s="264">
        <v>1</v>
      </c>
      <c r="DB36" s="264" t="s">
        <v>667</v>
      </c>
      <c r="DC36" s="264"/>
      <c r="DD36" s="264"/>
      <c r="DE36" s="264"/>
      <c r="DF36" s="264">
        <v>3</v>
      </c>
      <c r="DG36" s="264">
        <v>1</v>
      </c>
      <c r="DH36" s="264"/>
      <c r="DI36" s="264" t="s">
        <v>651</v>
      </c>
      <c r="DJ36" s="264"/>
      <c r="DK36" s="264"/>
      <c r="DL36" s="264"/>
      <c r="DM36" s="264"/>
      <c r="DN36" s="264">
        <v>1</v>
      </c>
      <c r="DO36" s="264"/>
      <c r="DP36" s="264"/>
      <c r="DQ36" s="264"/>
      <c r="DR36" s="264">
        <v>1</v>
      </c>
      <c r="DS36" s="264"/>
      <c r="DT36" s="264"/>
      <c r="DU36" s="264"/>
      <c r="DV36" s="264"/>
      <c r="DW36" s="264"/>
      <c r="DX36" s="264">
        <v>1</v>
      </c>
      <c r="DY36" s="264"/>
      <c r="DZ36" s="264">
        <v>1</v>
      </c>
      <c r="EA36" s="264"/>
      <c r="EB36" s="264">
        <v>1</v>
      </c>
      <c r="EC36" s="264"/>
      <c r="ED36" s="264" t="s">
        <v>651</v>
      </c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>
        <v>1</v>
      </c>
      <c r="ER36" s="264"/>
      <c r="ES36" s="264">
        <v>1</v>
      </c>
      <c r="ET36" s="264"/>
      <c r="EU36" s="264"/>
    </row>
    <row r="37" spans="1:151">
      <c r="A37" s="253"/>
      <c r="B37" s="264" t="s">
        <v>1152</v>
      </c>
      <c r="C37" s="264">
        <v>37</v>
      </c>
      <c r="D37" s="264" t="s">
        <v>1130</v>
      </c>
      <c r="E37" s="264">
        <v>26</v>
      </c>
      <c r="F37" s="264" t="s">
        <v>865</v>
      </c>
      <c r="G37" s="264">
        <v>37</v>
      </c>
      <c r="H37" s="264" t="s">
        <v>1130</v>
      </c>
      <c r="I37" s="264">
        <v>26</v>
      </c>
      <c r="J37" s="264" t="s">
        <v>865</v>
      </c>
      <c r="K37" s="264">
        <v>7</v>
      </c>
      <c r="L37" s="264" t="s">
        <v>696</v>
      </c>
      <c r="M37" s="264"/>
      <c r="N37" s="264" t="s">
        <v>1291</v>
      </c>
      <c r="O37" s="264">
        <v>7</v>
      </c>
      <c r="P37" s="264" t="s">
        <v>734</v>
      </c>
      <c r="Q37" s="264">
        <v>3</v>
      </c>
      <c r="R37" s="264" t="s">
        <v>743</v>
      </c>
      <c r="S37" s="264">
        <v>2</v>
      </c>
      <c r="T37" s="264" t="s">
        <v>651</v>
      </c>
      <c r="U37" s="264" t="s">
        <v>676</v>
      </c>
      <c r="V37" s="264"/>
      <c r="W37" s="264"/>
      <c r="X37" s="264">
        <v>21</v>
      </c>
      <c r="Y37" s="264" t="s">
        <v>672</v>
      </c>
      <c r="Z37" s="264">
        <v>14</v>
      </c>
      <c r="AA37" s="264" t="s">
        <v>952</v>
      </c>
      <c r="AB37" s="264">
        <v>1</v>
      </c>
      <c r="AC37" s="264" t="s">
        <v>760</v>
      </c>
      <c r="AD37" s="264">
        <v>16</v>
      </c>
      <c r="AE37" s="264" t="s">
        <v>801</v>
      </c>
      <c r="AF37" s="264">
        <v>12</v>
      </c>
      <c r="AG37" s="264" t="s">
        <v>689</v>
      </c>
      <c r="AH37" s="264">
        <v>6</v>
      </c>
      <c r="AI37" s="264" t="s">
        <v>667</v>
      </c>
      <c r="AJ37" s="264">
        <v>7</v>
      </c>
      <c r="AK37" s="264" t="s">
        <v>1069</v>
      </c>
      <c r="AL37" s="264">
        <v>1</v>
      </c>
      <c r="AM37" s="264" t="s">
        <v>651</v>
      </c>
      <c r="AN37" s="264">
        <v>8</v>
      </c>
      <c r="AO37" s="264" t="s">
        <v>851</v>
      </c>
      <c r="AP37" s="66">
        <v>43637</v>
      </c>
      <c r="AQ37" s="264">
        <v>1</v>
      </c>
      <c r="AR37" s="264" t="s">
        <v>651</v>
      </c>
      <c r="AS37" s="264">
        <v>4</v>
      </c>
      <c r="AT37" s="264" t="s">
        <v>736</v>
      </c>
      <c r="AU37" s="66">
        <v>43687</v>
      </c>
      <c r="AV37" s="264">
        <v>2</v>
      </c>
      <c r="AW37" s="264"/>
      <c r="AX37" s="264"/>
      <c r="AY37" s="264"/>
      <c r="AZ37" s="264"/>
      <c r="BA37" s="264">
        <v>22</v>
      </c>
      <c r="BB37" s="264" t="s">
        <v>853</v>
      </c>
      <c r="BC37" s="264" t="s">
        <v>814</v>
      </c>
      <c r="BD37" s="264">
        <v>16</v>
      </c>
      <c r="BE37" s="264" t="s">
        <v>988</v>
      </c>
      <c r="BF37" s="264" t="s">
        <v>880</v>
      </c>
      <c r="BG37" s="264">
        <v>21</v>
      </c>
      <c r="BH37" s="264" t="s">
        <v>1285</v>
      </c>
      <c r="BI37" s="264" t="s">
        <v>1288</v>
      </c>
      <c r="BJ37" s="264"/>
      <c r="BK37" s="264" t="s">
        <v>650</v>
      </c>
      <c r="BL37" s="264"/>
      <c r="BM37" s="264"/>
      <c r="BN37" s="264"/>
      <c r="BO37" s="264"/>
      <c r="BP37" s="264">
        <v>2</v>
      </c>
      <c r="BQ37" s="264">
        <v>1</v>
      </c>
      <c r="BR37" s="264"/>
      <c r="BS37" s="264" t="s">
        <v>651</v>
      </c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>
        <v>1</v>
      </c>
      <c r="CG37" s="264"/>
      <c r="CH37" s="264"/>
      <c r="CI37" s="264"/>
      <c r="CJ37" s="264">
        <v>1</v>
      </c>
      <c r="CK37" s="264">
        <v>2</v>
      </c>
      <c r="CL37" s="264"/>
      <c r="CM37" s="264" t="s">
        <v>651</v>
      </c>
      <c r="CN37" s="264"/>
      <c r="CO37" s="264"/>
      <c r="CP37" s="264"/>
      <c r="CQ37" s="264"/>
      <c r="CR37" s="264"/>
      <c r="CS37" s="264"/>
      <c r="CT37" s="264"/>
      <c r="CU37" s="264">
        <v>12</v>
      </c>
      <c r="CV37" s="264">
        <v>13</v>
      </c>
      <c r="CW37" s="264">
        <v>7</v>
      </c>
      <c r="CX37" s="264" t="s">
        <v>702</v>
      </c>
      <c r="CY37" s="264"/>
      <c r="CZ37" s="264">
        <v>1</v>
      </c>
      <c r="DA37" s="264">
        <v>1</v>
      </c>
      <c r="DB37" s="264" t="s">
        <v>657</v>
      </c>
      <c r="DC37" s="264"/>
      <c r="DD37" s="264">
        <v>1</v>
      </c>
      <c r="DE37" s="264"/>
      <c r="DF37" s="264">
        <v>2</v>
      </c>
      <c r="DG37" s="264">
        <v>1</v>
      </c>
      <c r="DH37" s="264"/>
      <c r="DI37" s="264" t="s">
        <v>651</v>
      </c>
      <c r="DJ37" s="264"/>
      <c r="DK37" s="264"/>
      <c r="DL37" s="264"/>
      <c r="DM37" s="264"/>
      <c r="DN37" s="264"/>
      <c r="DO37" s="264"/>
      <c r="DP37" s="264"/>
      <c r="DQ37" s="264"/>
      <c r="DR37" s="264">
        <v>2</v>
      </c>
      <c r="DS37" s="264" t="s">
        <v>651</v>
      </c>
      <c r="DT37" s="264"/>
      <c r="DU37" s="264"/>
      <c r="DV37" s="264"/>
      <c r="DW37" s="264"/>
      <c r="DX37" s="264"/>
      <c r="DY37" s="264" t="s">
        <v>650</v>
      </c>
      <c r="DZ37" s="264"/>
      <c r="EA37" s="264" t="s">
        <v>650</v>
      </c>
      <c r="EB37" s="264"/>
      <c r="EC37" s="264" t="s">
        <v>650</v>
      </c>
      <c r="ED37" s="264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>
        <v>2</v>
      </c>
      <c r="ER37" s="264"/>
      <c r="ES37" s="264">
        <v>2</v>
      </c>
      <c r="ET37" s="264"/>
      <c r="EU37" s="264"/>
    </row>
    <row r="38" spans="1:151" ht="15" customHeight="1">
      <c r="A38" s="254"/>
      <c r="B38" s="1" t="s">
        <v>1</v>
      </c>
      <c r="C38" s="264" t="s">
        <v>649</v>
      </c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 t="s">
        <v>652</v>
      </c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 t="s">
        <v>37</v>
      </c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 t="s">
        <v>653</v>
      </c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 t="s">
        <v>654</v>
      </c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 t="s">
        <v>649</v>
      </c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 t="s">
        <v>655</v>
      </c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 t="s">
        <v>37</v>
      </c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>
        <v>9</v>
      </c>
      <c r="D39" s="264"/>
      <c r="E39" s="264">
        <v>2</v>
      </c>
      <c r="F39" s="264"/>
      <c r="G39" s="264">
        <v>9</v>
      </c>
      <c r="H39" s="264"/>
      <c r="I39" s="264">
        <v>2</v>
      </c>
      <c r="J39" s="264"/>
      <c r="K39" s="264"/>
      <c r="L39" s="264"/>
      <c r="M39" s="264"/>
      <c r="N39" s="264" t="s">
        <v>651</v>
      </c>
      <c r="O39" s="264">
        <v>2</v>
      </c>
      <c r="P39" s="264"/>
      <c r="Q39" s="264">
        <v>1</v>
      </c>
      <c r="R39" s="264"/>
      <c r="S39" s="264"/>
      <c r="T39" s="264"/>
      <c r="U39" s="264" t="s">
        <v>651</v>
      </c>
      <c r="V39" s="264"/>
      <c r="W39" s="264"/>
      <c r="X39" s="264">
        <v>6</v>
      </c>
      <c r="Y39" s="264"/>
      <c r="Z39" s="264">
        <v>1</v>
      </c>
      <c r="AA39" s="264"/>
      <c r="AB39" s="264"/>
      <c r="AC39" s="264" t="s">
        <v>651</v>
      </c>
      <c r="AD39" s="264">
        <v>3</v>
      </c>
      <c r="AE39" s="264"/>
      <c r="AF39" s="264">
        <v>1</v>
      </c>
      <c r="AG39" s="264"/>
      <c r="AH39" s="264"/>
      <c r="AI39" s="264" t="s">
        <v>651</v>
      </c>
      <c r="AJ39" s="264">
        <v>2</v>
      </c>
      <c r="AK39" s="264"/>
      <c r="AL39" s="264"/>
      <c r="AM39" s="264"/>
      <c r="AN39" s="264">
        <v>8</v>
      </c>
      <c r="AO39" s="264"/>
      <c r="AP39" s="264" t="s">
        <v>675</v>
      </c>
      <c r="AQ39" s="264">
        <v>1</v>
      </c>
      <c r="AR39" s="264"/>
      <c r="AS39" s="264">
        <v>2</v>
      </c>
      <c r="AT39" s="264"/>
      <c r="AU39" s="66">
        <v>43518</v>
      </c>
      <c r="AV39" s="264">
        <v>1</v>
      </c>
      <c r="AW39" s="264"/>
      <c r="AX39" s="264"/>
      <c r="AY39" s="264"/>
      <c r="AZ39" s="264"/>
      <c r="BA39" s="264">
        <v>1</v>
      </c>
      <c r="BB39" s="264"/>
      <c r="BC39" s="264" t="s">
        <v>657</v>
      </c>
      <c r="BD39" s="264">
        <v>1</v>
      </c>
      <c r="BE39" s="264"/>
      <c r="BF39" s="264" t="s">
        <v>657</v>
      </c>
      <c r="BG39" s="264">
        <v>1</v>
      </c>
      <c r="BH39" s="264"/>
      <c r="BI39" s="264" t="s">
        <v>657</v>
      </c>
      <c r="BJ39" s="264"/>
      <c r="BK39" s="264"/>
      <c r="BL39" s="264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>
        <v>2</v>
      </c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>
        <v>5</v>
      </c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>
        <v>8</v>
      </c>
      <c r="D40" s="264" t="s">
        <v>875</v>
      </c>
      <c r="E40" s="264">
        <v>3</v>
      </c>
      <c r="F40" s="264" t="s">
        <v>657</v>
      </c>
      <c r="G40" s="264">
        <v>8</v>
      </c>
      <c r="H40" s="264" t="s">
        <v>875</v>
      </c>
      <c r="I40" s="264">
        <v>3</v>
      </c>
      <c r="J40" s="264" t="s">
        <v>657</v>
      </c>
      <c r="K40" s="264">
        <v>1</v>
      </c>
      <c r="L40" s="264" t="s">
        <v>651</v>
      </c>
      <c r="M40" s="264"/>
      <c r="N40" s="264" t="s">
        <v>734</v>
      </c>
      <c r="O40" s="264">
        <v>1</v>
      </c>
      <c r="P40" s="264" t="s">
        <v>678</v>
      </c>
      <c r="Q40" s="264"/>
      <c r="R40" s="264" t="s">
        <v>650</v>
      </c>
      <c r="S40" s="264"/>
      <c r="T40" s="264"/>
      <c r="U40" s="264"/>
      <c r="V40" s="264"/>
      <c r="W40" s="264"/>
      <c r="X40" s="264">
        <v>6</v>
      </c>
      <c r="Y40" s="264"/>
      <c r="Z40" s="264">
        <v>3</v>
      </c>
      <c r="AA40" s="264" t="s">
        <v>697</v>
      </c>
      <c r="AB40" s="264">
        <v>1</v>
      </c>
      <c r="AC40" s="264" t="s">
        <v>734</v>
      </c>
      <c r="AD40" s="264">
        <v>2</v>
      </c>
      <c r="AE40" s="264" t="s">
        <v>677</v>
      </c>
      <c r="AF40" s="264"/>
      <c r="AG40" s="264" t="s">
        <v>650</v>
      </c>
      <c r="AH40" s="264"/>
      <c r="AI40" s="264"/>
      <c r="AJ40" s="264">
        <v>1</v>
      </c>
      <c r="AK40" s="264" t="s">
        <v>678</v>
      </c>
      <c r="AL40" s="264"/>
      <c r="AM40" s="264"/>
      <c r="AN40" s="264">
        <v>6</v>
      </c>
      <c r="AO40" s="264" t="s">
        <v>672</v>
      </c>
      <c r="AP40" s="264" t="s">
        <v>734</v>
      </c>
      <c r="AQ40" s="264"/>
      <c r="AR40" s="264" t="s">
        <v>650</v>
      </c>
      <c r="AS40" s="264">
        <v>3</v>
      </c>
      <c r="AT40" s="264" t="s">
        <v>657</v>
      </c>
      <c r="AU40" s="264" t="s">
        <v>742</v>
      </c>
      <c r="AV40" s="264"/>
      <c r="AW40" s="264" t="s">
        <v>650</v>
      </c>
      <c r="AX40" s="264"/>
      <c r="AY40" s="264"/>
      <c r="AZ40" s="264"/>
      <c r="BA40" s="264">
        <v>2</v>
      </c>
      <c r="BB40" s="264" t="s">
        <v>651</v>
      </c>
      <c r="BC40" s="264" t="s">
        <v>667</v>
      </c>
      <c r="BD40" s="264"/>
      <c r="BE40" s="264" t="s">
        <v>650</v>
      </c>
      <c r="BF40" s="264"/>
      <c r="BG40" s="264">
        <v>2</v>
      </c>
      <c r="BH40" s="264" t="s">
        <v>651</v>
      </c>
      <c r="BI40" s="264" t="s">
        <v>667</v>
      </c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>
        <v>2</v>
      </c>
      <c r="CV40" s="264"/>
      <c r="CW40" s="264"/>
      <c r="CX40" s="264"/>
      <c r="CY40" s="264">
        <v>1</v>
      </c>
      <c r="CZ40" s="264"/>
      <c r="DA40" s="264"/>
      <c r="DB40" s="264"/>
      <c r="DC40" s="264"/>
      <c r="DD40" s="264"/>
      <c r="DE40" s="264"/>
      <c r="DF40" s="264">
        <v>1</v>
      </c>
      <c r="DG40" s="264"/>
      <c r="DH40" s="264"/>
      <c r="DI40" s="264"/>
      <c r="DJ40" s="264"/>
      <c r="DK40" s="264"/>
      <c r="DL40" s="264"/>
      <c r="DM40" s="264"/>
      <c r="DN40" s="264"/>
      <c r="DO40" s="264"/>
      <c r="DP40" s="264">
        <v>1</v>
      </c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 t="s">
        <v>649</v>
      </c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 t="s">
        <v>652</v>
      </c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 t="s">
        <v>37</v>
      </c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 t="s">
        <v>653</v>
      </c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 t="s">
        <v>654</v>
      </c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 t="s">
        <v>649</v>
      </c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 t="s">
        <v>655</v>
      </c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 t="s">
        <v>37</v>
      </c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>
        <v>69</v>
      </c>
      <c r="D42" s="264"/>
      <c r="E42" s="264">
        <v>47</v>
      </c>
      <c r="F42" s="264"/>
      <c r="G42" s="264">
        <v>69</v>
      </c>
      <c r="H42" s="264"/>
      <c r="I42" s="264">
        <v>47</v>
      </c>
      <c r="J42" s="264"/>
      <c r="K42" s="264">
        <v>7</v>
      </c>
      <c r="L42" s="264"/>
      <c r="M42" s="264"/>
      <c r="N42" s="264" t="s">
        <v>804</v>
      </c>
      <c r="O42" s="264">
        <v>10</v>
      </c>
      <c r="P42" s="264"/>
      <c r="Q42" s="264">
        <v>4</v>
      </c>
      <c r="R42" s="264"/>
      <c r="S42" s="264">
        <v>3</v>
      </c>
      <c r="T42" s="264"/>
      <c r="U42" s="264" t="s">
        <v>744</v>
      </c>
      <c r="V42" s="264"/>
      <c r="W42" s="264"/>
      <c r="X42" s="264">
        <v>33</v>
      </c>
      <c r="Y42" s="264"/>
      <c r="Z42" s="264">
        <v>29</v>
      </c>
      <c r="AA42" s="264"/>
      <c r="AB42" s="264"/>
      <c r="AC42" s="264" t="s">
        <v>651</v>
      </c>
      <c r="AD42" s="264">
        <v>36</v>
      </c>
      <c r="AE42" s="264"/>
      <c r="AF42" s="264">
        <v>18</v>
      </c>
      <c r="AG42" s="264"/>
      <c r="AH42" s="264">
        <v>7</v>
      </c>
      <c r="AI42" s="264" t="s">
        <v>858</v>
      </c>
      <c r="AJ42" s="264">
        <v>17</v>
      </c>
      <c r="AK42" s="264"/>
      <c r="AL42" s="264"/>
      <c r="AM42" s="264"/>
      <c r="AN42" s="264">
        <v>13</v>
      </c>
      <c r="AO42" s="264"/>
      <c r="AP42" s="66">
        <v>43695</v>
      </c>
      <c r="AQ42" s="264">
        <v>1</v>
      </c>
      <c r="AR42" s="264"/>
      <c r="AS42" s="264">
        <v>9</v>
      </c>
      <c r="AT42" s="264"/>
      <c r="AU42" s="264" t="s">
        <v>1010</v>
      </c>
      <c r="AV42" s="264">
        <v>9</v>
      </c>
      <c r="AW42" s="264"/>
      <c r="AX42" s="264">
        <v>7</v>
      </c>
      <c r="AY42" s="264"/>
      <c r="AZ42" s="66">
        <v>43722</v>
      </c>
      <c r="BA42" s="264">
        <v>30</v>
      </c>
      <c r="BB42" s="264"/>
      <c r="BC42" s="264" t="s">
        <v>829</v>
      </c>
      <c r="BD42" s="264">
        <v>25</v>
      </c>
      <c r="BE42" s="264"/>
      <c r="BF42" s="264" t="s">
        <v>943</v>
      </c>
      <c r="BG42" s="264">
        <v>38</v>
      </c>
      <c r="BH42" s="264"/>
      <c r="BI42" s="264" t="s">
        <v>1073</v>
      </c>
      <c r="BJ42" s="264">
        <v>5</v>
      </c>
      <c r="BK42" s="264"/>
      <c r="BL42" s="66">
        <v>43626</v>
      </c>
      <c r="BM42" s="264">
        <v>5</v>
      </c>
      <c r="BN42" s="264" t="s">
        <v>651</v>
      </c>
      <c r="BO42" s="264"/>
      <c r="BP42" s="264"/>
      <c r="BQ42" s="264"/>
      <c r="BR42" s="264"/>
      <c r="BS42" s="264"/>
      <c r="BT42" s="264"/>
      <c r="BU42" s="264"/>
      <c r="BV42" s="264"/>
      <c r="BW42" s="264"/>
      <c r="BX42" s="264">
        <v>2</v>
      </c>
      <c r="BY42" s="264">
        <v>2</v>
      </c>
      <c r="BZ42" s="264"/>
      <c r="CA42" s="264" t="s">
        <v>651</v>
      </c>
      <c r="CB42" s="264">
        <v>1</v>
      </c>
      <c r="CC42" s="264"/>
      <c r="CD42" s="264"/>
      <c r="CE42" s="264"/>
      <c r="CF42" s="264"/>
      <c r="CG42" s="264"/>
      <c r="CH42" s="264">
        <v>2</v>
      </c>
      <c r="CI42" s="264"/>
      <c r="CJ42" s="264">
        <v>3</v>
      </c>
      <c r="CK42" s="264">
        <v>1</v>
      </c>
      <c r="CL42" s="264"/>
      <c r="CM42" s="264" t="s">
        <v>651</v>
      </c>
      <c r="CN42" s="264"/>
      <c r="CO42" s="264"/>
      <c r="CP42" s="264"/>
      <c r="CQ42" s="264">
        <v>1</v>
      </c>
      <c r="CR42" s="264"/>
      <c r="CS42" s="264"/>
      <c r="CT42" s="264"/>
      <c r="CU42" s="264">
        <v>26</v>
      </c>
      <c r="CV42" s="264">
        <v>19</v>
      </c>
      <c r="CW42" s="264">
        <v>4</v>
      </c>
      <c r="CX42" s="264" t="s">
        <v>986</v>
      </c>
      <c r="CY42" s="264"/>
      <c r="CZ42" s="264">
        <v>1</v>
      </c>
      <c r="DA42" s="264"/>
      <c r="DB42" s="264" t="s">
        <v>651</v>
      </c>
      <c r="DC42" s="264"/>
      <c r="DD42" s="264"/>
      <c r="DE42" s="264"/>
      <c r="DF42" s="264">
        <v>2</v>
      </c>
      <c r="DG42" s="264"/>
      <c r="DH42" s="264">
        <v>1</v>
      </c>
      <c r="DI42" s="264"/>
      <c r="DJ42" s="264"/>
      <c r="DK42" s="264"/>
      <c r="DL42" s="264"/>
      <c r="DM42" s="264"/>
      <c r="DN42" s="264">
        <v>1</v>
      </c>
      <c r="DO42" s="264">
        <v>1</v>
      </c>
      <c r="DP42" s="264"/>
      <c r="DQ42" s="264" t="s">
        <v>651</v>
      </c>
      <c r="DR42" s="264">
        <v>2</v>
      </c>
      <c r="DS42" s="264"/>
      <c r="DT42" s="264">
        <v>2</v>
      </c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>
        <v>1</v>
      </c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>
        <v>65</v>
      </c>
      <c r="D43" s="264" t="s">
        <v>1351</v>
      </c>
      <c r="E43" s="264">
        <v>36</v>
      </c>
      <c r="F43" s="264" t="s">
        <v>1419</v>
      </c>
      <c r="G43" s="264">
        <v>65</v>
      </c>
      <c r="H43" s="264" t="s">
        <v>1351</v>
      </c>
      <c r="I43" s="264">
        <v>36</v>
      </c>
      <c r="J43" s="264" t="s">
        <v>1419</v>
      </c>
      <c r="K43" s="264">
        <v>10</v>
      </c>
      <c r="L43" s="264" t="s">
        <v>772</v>
      </c>
      <c r="M43" s="264">
        <v>1</v>
      </c>
      <c r="N43" s="264" t="s">
        <v>1008</v>
      </c>
      <c r="O43" s="264">
        <v>11</v>
      </c>
      <c r="P43" s="264" t="s">
        <v>704</v>
      </c>
      <c r="Q43" s="264">
        <v>5</v>
      </c>
      <c r="R43" s="264" t="s">
        <v>688</v>
      </c>
      <c r="S43" s="264">
        <v>3</v>
      </c>
      <c r="T43" s="264"/>
      <c r="U43" s="264" t="s">
        <v>713</v>
      </c>
      <c r="V43" s="264">
        <v>1</v>
      </c>
      <c r="W43" s="264" t="s">
        <v>843</v>
      </c>
      <c r="X43" s="264">
        <v>27</v>
      </c>
      <c r="Y43" s="264" t="s">
        <v>670</v>
      </c>
      <c r="Z43" s="264">
        <v>21</v>
      </c>
      <c r="AA43" s="264" t="s">
        <v>1027</v>
      </c>
      <c r="AB43" s="264">
        <v>2</v>
      </c>
      <c r="AC43" s="264" t="s">
        <v>1357</v>
      </c>
      <c r="AD43" s="264">
        <v>38</v>
      </c>
      <c r="AE43" s="66">
        <v>43621</v>
      </c>
      <c r="AF43" s="264">
        <v>15</v>
      </c>
      <c r="AG43" s="264" t="s">
        <v>692</v>
      </c>
      <c r="AH43" s="264">
        <v>8</v>
      </c>
      <c r="AI43" s="264" t="s">
        <v>695</v>
      </c>
      <c r="AJ43" s="264">
        <v>15</v>
      </c>
      <c r="AK43" s="264" t="s">
        <v>1007</v>
      </c>
      <c r="AL43" s="264"/>
      <c r="AM43" s="264"/>
      <c r="AN43" s="264">
        <v>12</v>
      </c>
      <c r="AO43" s="264" t="s">
        <v>689</v>
      </c>
      <c r="AP43" s="66">
        <v>43603</v>
      </c>
      <c r="AQ43" s="264">
        <v>2</v>
      </c>
      <c r="AR43" s="264" t="s">
        <v>651</v>
      </c>
      <c r="AS43" s="264">
        <v>9</v>
      </c>
      <c r="AT43" s="264"/>
      <c r="AU43" s="66">
        <v>43690</v>
      </c>
      <c r="AV43" s="264">
        <v>6</v>
      </c>
      <c r="AW43" s="264" t="s">
        <v>677</v>
      </c>
      <c r="AX43" s="264">
        <v>6</v>
      </c>
      <c r="AY43" s="264" t="s">
        <v>673</v>
      </c>
      <c r="AZ43" s="66">
        <v>43662</v>
      </c>
      <c r="BA43" s="264">
        <v>21</v>
      </c>
      <c r="BB43" s="264" t="s">
        <v>757</v>
      </c>
      <c r="BC43" s="264" t="s">
        <v>725</v>
      </c>
      <c r="BD43" s="264">
        <v>11</v>
      </c>
      <c r="BE43" s="264" t="s">
        <v>1220</v>
      </c>
      <c r="BF43" s="66">
        <v>43646</v>
      </c>
      <c r="BG43" s="264">
        <v>29</v>
      </c>
      <c r="BH43" s="264" t="s">
        <v>1102</v>
      </c>
      <c r="BI43" s="264" t="s">
        <v>776</v>
      </c>
      <c r="BJ43" s="264">
        <v>4</v>
      </c>
      <c r="BK43" s="264" t="s">
        <v>669</v>
      </c>
      <c r="BL43" s="66">
        <v>43476</v>
      </c>
      <c r="BM43" s="264">
        <v>4</v>
      </c>
      <c r="BN43" s="264" t="s">
        <v>651</v>
      </c>
      <c r="BO43" s="264"/>
      <c r="BP43" s="264"/>
      <c r="BQ43" s="264"/>
      <c r="BR43" s="264"/>
      <c r="BS43" s="264"/>
      <c r="BT43" s="264"/>
      <c r="BU43" s="264"/>
      <c r="BV43" s="264"/>
      <c r="BW43" s="264"/>
      <c r="BX43" s="264">
        <v>2</v>
      </c>
      <c r="BY43" s="264">
        <v>1</v>
      </c>
      <c r="BZ43" s="264"/>
      <c r="CA43" s="264" t="s">
        <v>651</v>
      </c>
      <c r="CB43" s="264"/>
      <c r="CC43" s="264"/>
      <c r="CD43" s="264"/>
      <c r="CE43" s="264"/>
      <c r="CF43" s="264"/>
      <c r="CG43" s="264"/>
      <c r="CH43" s="264"/>
      <c r="CI43" s="264"/>
      <c r="CJ43" s="264"/>
      <c r="CK43" s="264">
        <v>2</v>
      </c>
      <c r="CL43" s="264"/>
      <c r="CM43" s="264" t="s">
        <v>651</v>
      </c>
      <c r="CN43" s="264"/>
      <c r="CO43" s="264"/>
      <c r="CP43" s="264"/>
      <c r="CQ43" s="264"/>
      <c r="CR43" s="264"/>
      <c r="CS43" s="264"/>
      <c r="CT43" s="264"/>
      <c r="CU43" s="264">
        <v>27</v>
      </c>
      <c r="CV43" s="264">
        <v>11</v>
      </c>
      <c r="CW43" s="264">
        <v>4</v>
      </c>
      <c r="CX43" s="264" t="s">
        <v>901</v>
      </c>
      <c r="CY43" s="264"/>
      <c r="CZ43" s="264"/>
      <c r="DA43" s="264"/>
      <c r="DB43" s="264"/>
      <c r="DC43" s="264"/>
      <c r="DD43" s="264"/>
      <c r="DE43" s="264"/>
      <c r="DF43" s="264">
        <v>4</v>
      </c>
      <c r="DG43" s="264"/>
      <c r="DH43" s="264">
        <v>1</v>
      </c>
      <c r="DI43" s="264"/>
      <c r="DJ43" s="264"/>
      <c r="DK43" s="264"/>
      <c r="DL43" s="264"/>
      <c r="DM43" s="264"/>
      <c r="DN43" s="264">
        <v>1</v>
      </c>
      <c r="DO43" s="264">
        <v>2</v>
      </c>
      <c r="DP43" s="264"/>
      <c r="DQ43" s="264" t="s">
        <v>651</v>
      </c>
      <c r="DR43" s="264">
        <v>1</v>
      </c>
      <c r="DS43" s="264" t="s">
        <v>678</v>
      </c>
      <c r="DT43" s="264">
        <v>1</v>
      </c>
      <c r="DU43" s="264" t="s">
        <v>678</v>
      </c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>
        <v>1</v>
      </c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 t="s">
        <v>649</v>
      </c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 t="s">
        <v>652</v>
      </c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 t="s">
        <v>37</v>
      </c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 t="s">
        <v>653</v>
      </c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 t="s">
        <v>654</v>
      </c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 t="s">
        <v>649</v>
      </c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 t="s">
        <v>655</v>
      </c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 t="s">
        <v>37</v>
      </c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>
        <v>55</v>
      </c>
      <c r="D45" s="264"/>
      <c r="E45" s="264">
        <v>45</v>
      </c>
      <c r="F45" s="264"/>
      <c r="G45" s="264">
        <v>55</v>
      </c>
      <c r="H45" s="264"/>
      <c r="I45" s="264">
        <v>45</v>
      </c>
      <c r="J45" s="264"/>
      <c r="K45" s="264">
        <v>17</v>
      </c>
      <c r="L45" s="264"/>
      <c r="M45" s="264">
        <v>1</v>
      </c>
      <c r="N45" s="264" t="s">
        <v>761</v>
      </c>
      <c r="O45" s="264">
        <v>10</v>
      </c>
      <c r="P45" s="264"/>
      <c r="Q45" s="264">
        <v>10</v>
      </c>
      <c r="R45" s="264"/>
      <c r="S45" s="264"/>
      <c r="T45" s="264"/>
      <c r="U45" s="264" t="s">
        <v>651</v>
      </c>
      <c r="V45" s="264"/>
      <c r="W45" s="264"/>
      <c r="X45" s="264">
        <v>31</v>
      </c>
      <c r="Y45" s="264"/>
      <c r="Z45" s="264">
        <v>21</v>
      </c>
      <c r="AA45" s="264"/>
      <c r="AB45" s="264">
        <v>6</v>
      </c>
      <c r="AC45" s="264" t="s">
        <v>1006</v>
      </c>
      <c r="AD45" s="264">
        <v>24</v>
      </c>
      <c r="AE45" s="264"/>
      <c r="AF45" s="264">
        <v>24</v>
      </c>
      <c r="AG45" s="264"/>
      <c r="AH45" s="264">
        <v>11</v>
      </c>
      <c r="AI45" s="264" t="s">
        <v>987</v>
      </c>
      <c r="AJ45" s="264">
        <v>16</v>
      </c>
      <c r="AK45" s="264"/>
      <c r="AL45" s="264">
        <v>1</v>
      </c>
      <c r="AM45" s="264"/>
      <c r="AN45" s="264">
        <v>6</v>
      </c>
      <c r="AO45" s="264"/>
      <c r="AP45" s="66">
        <v>43718</v>
      </c>
      <c r="AQ45" s="264"/>
      <c r="AR45" s="264"/>
      <c r="AS45" s="264">
        <v>5</v>
      </c>
      <c r="AT45" s="264"/>
      <c r="AU45" s="66">
        <v>43474</v>
      </c>
      <c r="AV45" s="264">
        <v>9</v>
      </c>
      <c r="AW45" s="264"/>
      <c r="AX45" s="264">
        <v>7</v>
      </c>
      <c r="AY45" s="264"/>
      <c r="AZ45" s="66">
        <v>43631</v>
      </c>
      <c r="BA45" s="264">
        <v>25</v>
      </c>
      <c r="BB45" s="264"/>
      <c r="BC45" s="264" t="s">
        <v>727</v>
      </c>
      <c r="BD45" s="264">
        <v>14</v>
      </c>
      <c r="BE45" s="264"/>
      <c r="BF45" s="66">
        <v>43496</v>
      </c>
      <c r="BG45" s="264">
        <v>27</v>
      </c>
      <c r="BH45" s="264"/>
      <c r="BI45" s="264" t="s">
        <v>676</v>
      </c>
      <c r="BJ45" s="264">
        <v>6</v>
      </c>
      <c r="BK45" s="264"/>
      <c r="BL45" s="66">
        <v>43537</v>
      </c>
      <c r="BM45" s="264">
        <v>6</v>
      </c>
      <c r="BN45" s="264" t="s">
        <v>651</v>
      </c>
      <c r="BO45" s="264"/>
      <c r="BP45" s="264"/>
      <c r="BQ45" s="264"/>
      <c r="BR45" s="264"/>
      <c r="BS45" s="264"/>
      <c r="BT45" s="264"/>
      <c r="BU45" s="264"/>
      <c r="BV45" s="264"/>
      <c r="BW45" s="264"/>
      <c r="BX45" s="264">
        <v>1</v>
      </c>
      <c r="BY45" s="264">
        <v>1</v>
      </c>
      <c r="BZ45" s="264"/>
      <c r="CA45" s="264" t="s">
        <v>651</v>
      </c>
      <c r="CB45" s="264">
        <v>1</v>
      </c>
      <c r="CC45" s="264">
        <v>1</v>
      </c>
      <c r="CD45" s="264"/>
      <c r="CE45" s="264" t="s">
        <v>651</v>
      </c>
      <c r="CF45" s="264">
        <v>1</v>
      </c>
      <c r="CG45" s="264"/>
      <c r="CH45" s="264"/>
      <c r="CI45" s="264"/>
      <c r="CJ45" s="264"/>
      <c r="CK45" s="264">
        <v>1</v>
      </c>
      <c r="CL45" s="264">
        <v>1</v>
      </c>
      <c r="CM45" s="264" t="s">
        <v>657</v>
      </c>
      <c r="CN45" s="264"/>
      <c r="CO45" s="264"/>
      <c r="CP45" s="264"/>
      <c r="CQ45" s="264"/>
      <c r="CR45" s="264"/>
      <c r="CS45" s="264"/>
      <c r="CT45" s="264"/>
      <c r="CU45" s="264">
        <v>22</v>
      </c>
      <c r="CV45" s="264">
        <v>19</v>
      </c>
      <c r="CW45" s="264">
        <v>13</v>
      </c>
      <c r="CX45" s="264" t="s">
        <v>874</v>
      </c>
      <c r="CY45" s="264">
        <v>2</v>
      </c>
      <c r="CZ45" s="264">
        <v>2</v>
      </c>
      <c r="DA45" s="264"/>
      <c r="DB45" s="264" t="s">
        <v>651</v>
      </c>
      <c r="DC45" s="264"/>
      <c r="DD45" s="264">
        <v>1</v>
      </c>
      <c r="DE45" s="264"/>
      <c r="DF45" s="264">
        <v>3</v>
      </c>
      <c r="DG45" s="264">
        <v>1</v>
      </c>
      <c r="DH45" s="264">
        <v>1</v>
      </c>
      <c r="DI45" s="264" t="s">
        <v>657</v>
      </c>
      <c r="DJ45" s="264"/>
      <c r="DK45" s="264"/>
      <c r="DL45" s="264"/>
      <c r="DM45" s="264"/>
      <c r="DN45" s="264"/>
      <c r="DO45" s="264">
        <v>2</v>
      </c>
      <c r="DP45" s="264">
        <v>1</v>
      </c>
      <c r="DQ45" s="264" t="s">
        <v>667</v>
      </c>
      <c r="DR45" s="264">
        <v>1</v>
      </c>
      <c r="DS45" s="264"/>
      <c r="DT45" s="264">
        <v>1</v>
      </c>
      <c r="DU45" s="264"/>
      <c r="DV45" s="264">
        <v>1</v>
      </c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>
        <v>59</v>
      </c>
      <c r="D46" s="66">
        <v>43531</v>
      </c>
      <c r="E46" s="264">
        <v>44</v>
      </c>
      <c r="F46" s="264" t="s">
        <v>1117</v>
      </c>
      <c r="G46" s="264">
        <v>59</v>
      </c>
      <c r="H46" s="66">
        <v>43531</v>
      </c>
      <c r="I46" s="264">
        <v>44</v>
      </c>
      <c r="J46" s="264" t="s">
        <v>1117</v>
      </c>
      <c r="K46" s="264">
        <v>13</v>
      </c>
      <c r="L46" s="264" t="s">
        <v>833</v>
      </c>
      <c r="M46" s="264"/>
      <c r="N46" s="264" t="s">
        <v>1442</v>
      </c>
      <c r="O46" s="264">
        <v>8</v>
      </c>
      <c r="P46" s="264" t="s">
        <v>669</v>
      </c>
      <c r="Q46" s="264">
        <v>11</v>
      </c>
      <c r="R46" s="264" t="s">
        <v>704</v>
      </c>
      <c r="S46" s="264"/>
      <c r="T46" s="264"/>
      <c r="U46" s="264" t="s">
        <v>651</v>
      </c>
      <c r="V46" s="264"/>
      <c r="W46" s="264"/>
      <c r="X46" s="264">
        <v>35</v>
      </c>
      <c r="Y46" s="66">
        <v>43720</v>
      </c>
      <c r="Z46" s="264">
        <v>25</v>
      </c>
      <c r="AA46" s="264" t="s">
        <v>924</v>
      </c>
      <c r="AB46" s="264">
        <v>3</v>
      </c>
      <c r="AC46" s="264" t="s">
        <v>1029</v>
      </c>
      <c r="AD46" s="264">
        <v>24</v>
      </c>
      <c r="AE46" s="264"/>
      <c r="AF46" s="264">
        <v>19</v>
      </c>
      <c r="AG46" s="264" t="s">
        <v>1393</v>
      </c>
      <c r="AH46" s="264">
        <v>10</v>
      </c>
      <c r="AI46" s="264" t="s">
        <v>981</v>
      </c>
      <c r="AJ46" s="264">
        <v>20</v>
      </c>
      <c r="AK46" s="264" t="s">
        <v>688</v>
      </c>
      <c r="AL46" s="264"/>
      <c r="AM46" s="264" t="s">
        <v>650</v>
      </c>
      <c r="AN46" s="264">
        <v>7</v>
      </c>
      <c r="AO46" s="66">
        <v>43662</v>
      </c>
      <c r="AP46" s="66">
        <v>43719</v>
      </c>
      <c r="AQ46" s="264">
        <v>2</v>
      </c>
      <c r="AR46" s="264" t="s">
        <v>651</v>
      </c>
      <c r="AS46" s="264">
        <v>2</v>
      </c>
      <c r="AT46" s="264" t="s">
        <v>723</v>
      </c>
      <c r="AU46" s="66">
        <v>43558</v>
      </c>
      <c r="AV46" s="264">
        <v>8</v>
      </c>
      <c r="AW46" s="264" t="s">
        <v>875</v>
      </c>
      <c r="AX46" s="264">
        <v>1</v>
      </c>
      <c r="AY46" s="264" t="s">
        <v>752</v>
      </c>
      <c r="AZ46" s="66">
        <v>43526</v>
      </c>
      <c r="BA46" s="264">
        <v>30</v>
      </c>
      <c r="BB46" s="264" t="s">
        <v>690</v>
      </c>
      <c r="BC46" s="264" t="s">
        <v>791</v>
      </c>
      <c r="BD46" s="264">
        <v>14</v>
      </c>
      <c r="BE46" s="264"/>
      <c r="BF46" s="66">
        <v>43708</v>
      </c>
      <c r="BG46" s="264">
        <v>27</v>
      </c>
      <c r="BH46" s="264"/>
      <c r="BI46" s="264" t="s">
        <v>711</v>
      </c>
      <c r="BJ46" s="264">
        <v>2</v>
      </c>
      <c r="BK46" s="264" t="s">
        <v>743</v>
      </c>
      <c r="BL46" s="66">
        <v>43589</v>
      </c>
      <c r="BM46" s="264">
        <v>1</v>
      </c>
      <c r="BN46" s="264" t="s">
        <v>657</v>
      </c>
      <c r="BO46" s="264">
        <v>1</v>
      </c>
      <c r="BP46" s="264"/>
      <c r="BQ46" s="264"/>
      <c r="BR46" s="264"/>
      <c r="BS46" s="264"/>
      <c r="BT46" s="264"/>
      <c r="BU46" s="264"/>
      <c r="BV46" s="264"/>
      <c r="BW46" s="264"/>
      <c r="BX46" s="264">
        <v>1</v>
      </c>
      <c r="BY46" s="264">
        <v>3</v>
      </c>
      <c r="BZ46" s="264"/>
      <c r="CA46" s="264" t="s">
        <v>651</v>
      </c>
      <c r="CB46" s="264"/>
      <c r="CC46" s="264">
        <v>1</v>
      </c>
      <c r="CD46" s="264"/>
      <c r="CE46" s="264" t="s">
        <v>651</v>
      </c>
      <c r="CF46" s="264"/>
      <c r="CG46" s="264"/>
      <c r="CH46" s="264"/>
      <c r="CI46" s="264"/>
      <c r="CJ46" s="264">
        <v>1</v>
      </c>
      <c r="CK46" s="264"/>
      <c r="CL46" s="264"/>
      <c r="CM46" s="264"/>
      <c r="CN46" s="264"/>
      <c r="CO46" s="264"/>
      <c r="CP46" s="264"/>
      <c r="CQ46" s="264">
        <v>1</v>
      </c>
      <c r="CR46" s="264"/>
      <c r="CS46" s="264"/>
      <c r="CT46" s="264"/>
      <c r="CU46" s="264">
        <v>17</v>
      </c>
      <c r="CV46" s="264">
        <v>9</v>
      </c>
      <c r="CW46" s="264">
        <v>11</v>
      </c>
      <c r="CX46" s="264" t="s">
        <v>920</v>
      </c>
      <c r="CY46" s="264"/>
      <c r="CZ46" s="264"/>
      <c r="DA46" s="264"/>
      <c r="DB46" s="264"/>
      <c r="DC46" s="264">
        <v>1</v>
      </c>
      <c r="DD46" s="264"/>
      <c r="DE46" s="264"/>
      <c r="DF46" s="264">
        <v>3</v>
      </c>
      <c r="DG46" s="264">
        <v>1</v>
      </c>
      <c r="DH46" s="264">
        <v>1</v>
      </c>
      <c r="DI46" s="264" t="s">
        <v>657</v>
      </c>
      <c r="DJ46" s="264"/>
      <c r="DK46" s="264"/>
      <c r="DL46" s="264"/>
      <c r="DM46" s="264"/>
      <c r="DN46" s="264"/>
      <c r="DO46" s="264">
        <v>1</v>
      </c>
      <c r="DP46" s="264"/>
      <c r="DQ46" s="264" t="s">
        <v>651</v>
      </c>
      <c r="DR46" s="264">
        <v>1</v>
      </c>
      <c r="DS46" s="264"/>
      <c r="DT46" s="264">
        <v>1</v>
      </c>
      <c r="DU46" s="264"/>
      <c r="DV46" s="264"/>
      <c r="DW46" s="264" t="s">
        <v>650</v>
      </c>
      <c r="DX46" s="264">
        <v>2</v>
      </c>
      <c r="DY46" s="264" t="s">
        <v>651</v>
      </c>
      <c r="DZ46" s="264">
        <v>2</v>
      </c>
      <c r="EA46" s="264" t="s">
        <v>651</v>
      </c>
      <c r="EB46" s="264">
        <v>1</v>
      </c>
      <c r="EC46" s="264" t="s">
        <v>651</v>
      </c>
      <c r="ED46" s="264" t="s">
        <v>651</v>
      </c>
      <c r="EE46" s="264"/>
      <c r="EF46" s="264"/>
      <c r="EG46" s="264"/>
      <c r="EH46" s="264"/>
      <c r="EI46" s="264"/>
      <c r="EJ46" s="264"/>
      <c r="EK46" s="264"/>
      <c r="EL46" s="264"/>
      <c r="EM46" s="264"/>
      <c r="EN46" s="264">
        <v>1</v>
      </c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 t="s">
        <v>649</v>
      </c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 t="s">
        <v>652</v>
      </c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 t="s">
        <v>37</v>
      </c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 t="s">
        <v>653</v>
      </c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 t="s">
        <v>654</v>
      </c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 t="s">
        <v>649</v>
      </c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 t="s">
        <v>655</v>
      </c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 t="s">
        <v>37</v>
      </c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>
        <v>32</v>
      </c>
      <c r="D48" s="264"/>
      <c r="E48" s="264">
        <v>26</v>
      </c>
      <c r="F48" s="264"/>
      <c r="G48" s="264">
        <v>32</v>
      </c>
      <c r="H48" s="264"/>
      <c r="I48" s="264">
        <v>26</v>
      </c>
      <c r="J48" s="264"/>
      <c r="K48" s="264">
        <v>12</v>
      </c>
      <c r="L48" s="264"/>
      <c r="M48" s="264"/>
      <c r="N48" s="264" t="s">
        <v>686</v>
      </c>
      <c r="O48" s="264">
        <v>5</v>
      </c>
      <c r="P48" s="264"/>
      <c r="Q48" s="264">
        <v>7</v>
      </c>
      <c r="R48" s="264"/>
      <c r="S48" s="264"/>
      <c r="T48" s="264"/>
      <c r="U48" s="264" t="s">
        <v>651</v>
      </c>
      <c r="V48" s="264"/>
      <c r="W48" s="264"/>
      <c r="X48" s="264">
        <v>18</v>
      </c>
      <c r="Y48" s="264"/>
      <c r="Z48" s="264">
        <v>11</v>
      </c>
      <c r="AA48" s="264"/>
      <c r="AB48" s="264">
        <v>3</v>
      </c>
      <c r="AC48" s="264" t="s">
        <v>1038</v>
      </c>
      <c r="AD48" s="264">
        <v>14</v>
      </c>
      <c r="AE48" s="264"/>
      <c r="AF48" s="264">
        <v>15</v>
      </c>
      <c r="AG48" s="264"/>
      <c r="AH48" s="264">
        <v>9</v>
      </c>
      <c r="AI48" s="264" t="s">
        <v>713</v>
      </c>
      <c r="AJ48" s="264">
        <v>6</v>
      </c>
      <c r="AK48" s="264"/>
      <c r="AL48" s="264"/>
      <c r="AM48" s="264"/>
      <c r="AN48" s="264">
        <v>3</v>
      </c>
      <c r="AO48" s="264"/>
      <c r="AP48" s="66">
        <v>43564</v>
      </c>
      <c r="AQ48" s="264"/>
      <c r="AR48" s="264"/>
      <c r="AS48" s="264">
        <v>3</v>
      </c>
      <c r="AT48" s="264"/>
      <c r="AU48" s="66">
        <v>43564</v>
      </c>
      <c r="AV48" s="264">
        <v>4</v>
      </c>
      <c r="AW48" s="264"/>
      <c r="AX48" s="264">
        <v>6</v>
      </c>
      <c r="AY48" s="264"/>
      <c r="AZ48" s="66">
        <v>43488</v>
      </c>
      <c r="BA48" s="264">
        <v>13</v>
      </c>
      <c r="BB48" s="264"/>
      <c r="BC48" s="264" t="s">
        <v>657</v>
      </c>
      <c r="BD48" s="264">
        <v>8</v>
      </c>
      <c r="BE48" s="264"/>
      <c r="BF48" s="66">
        <v>43707</v>
      </c>
      <c r="BG48" s="264">
        <v>16</v>
      </c>
      <c r="BH48" s="264"/>
      <c r="BI48" s="264" t="s">
        <v>880</v>
      </c>
      <c r="BJ48" s="264">
        <v>6</v>
      </c>
      <c r="BK48" s="264"/>
      <c r="BL48" s="66">
        <v>43488</v>
      </c>
      <c r="BM48" s="264">
        <v>6</v>
      </c>
      <c r="BN48" s="264" t="s">
        <v>651</v>
      </c>
      <c r="BO48" s="264"/>
      <c r="BP48" s="264"/>
      <c r="BQ48" s="264"/>
      <c r="BR48" s="264"/>
      <c r="BS48" s="264"/>
      <c r="BT48" s="264"/>
      <c r="BU48" s="264"/>
      <c r="BV48" s="264"/>
      <c r="BW48" s="264"/>
      <c r="BX48" s="264">
        <v>1</v>
      </c>
      <c r="BY48" s="264"/>
      <c r="BZ48" s="264"/>
      <c r="CA48" s="264"/>
      <c r="CB48" s="264">
        <v>1</v>
      </c>
      <c r="CC48" s="264"/>
      <c r="CD48" s="264"/>
      <c r="CE48" s="264"/>
      <c r="CF48" s="264"/>
      <c r="CG48" s="264"/>
      <c r="CH48" s="264"/>
      <c r="CI48" s="264"/>
      <c r="CJ48" s="264"/>
      <c r="CK48" s="264">
        <v>1</v>
      </c>
      <c r="CL48" s="264">
        <v>1</v>
      </c>
      <c r="CM48" s="264" t="s">
        <v>657</v>
      </c>
      <c r="CN48" s="264"/>
      <c r="CO48" s="264"/>
      <c r="CP48" s="264"/>
      <c r="CQ48" s="264"/>
      <c r="CR48" s="264"/>
      <c r="CS48" s="264"/>
      <c r="CT48" s="264"/>
      <c r="CU48" s="264">
        <v>17</v>
      </c>
      <c r="CV48" s="264">
        <v>12</v>
      </c>
      <c r="CW48" s="264">
        <v>9</v>
      </c>
      <c r="CX48" s="264" t="s">
        <v>744</v>
      </c>
      <c r="CY48" s="264">
        <v>1</v>
      </c>
      <c r="CZ48" s="264">
        <v>2</v>
      </c>
      <c r="DA48" s="264"/>
      <c r="DB48" s="264" t="s">
        <v>651</v>
      </c>
      <c r="DC48" s="264"/>
      <c r="DD48" s="264">
        <v>1</v>
      </c>
      <c r="DE48" s="264"/>
      <c r="DF48" s="264">
        <v>1</v>
      </c>
      <c r="DG48" s="264">
        <v>1</v>
      </c>
      <c r="DH48" s="264">
        <v>1</v>
      </c>
      <c r="DI48" s="264" t="s">
        <v>657</v>
      </c>
      <c r="DJ48" s="264"/>
      <c r="DK48" s="264"/>
      <c r="DL48" s="264"/>
      <c r="DM48" s="264"/>
      <c r="DN48" s="264"/>
      <c r="DO48" s="264">
        <v>2</v>
      </c>
      <c r="DP48" s="264">
        <v>1</v>
      </c>
      <c r="DQ48" s="264" t="s">
        <v>667</v>
      </c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>
        <v>34</v>
      </c>
      <c r="D49" s="66">
        <v>43502</v>
      </c>
      <c r="E49" s="264">
        <v>21</v>
      </c>
      <c r="F49" s="264" t="s">
        <v>719</v>
      </c>
      <c r="G49" s="264">
        <v>34</v>
      </c>
      <c r="H49" s="66">
        <v>43502</v>
      </c>
      <c r="I49" s="264">
        <v>21</v>
      </c>
      <c r="J49" s="264" t="s">
        <v>719</v>
      </c>
      <c r="K49" s="264">
        <v>7</v>
      </c>
      <c r="L49" s="264" t="s">
        <v>852</v>
      </c>
      <c r="M49" s="264"/>
      <c r="N49" s="264" t="s">
        <v>734</v>
      </c>
      <c r="O49" s="264">
        <v>5</v>
      </c>
      <c r="P49" s="264"/>
      <c r="Q49" s="264">
        <v>3</v>
      </c>
      <c r="R49" s="264" t="s">
        <v>1050</v>
      </c>
      <c r="S49" s="264"/>
      <c r="T49" s="264"/>
      <c r="U49" s="264" t="s">
        <v>651</v>
      </c>
      <c r="V49" s="264"/>
      <c r="W49" s="264"/>
      <c r="X49" s="264">
        <v>19</v>
      </c>
      <c r="Y49" s="66">
        <v>43621</v>
      </c>
      <c r="Z49" s="264">
        <v>12</v>
      </c>
      <c r="AA49" s="66">
        <v>43474</v>
      </c>
      <c r="AB49" s="264">
        <v>1</v>
      </c>
      <c r="AC49" s="264" t="s">
        <v>753</v>
      </c>
      <c r="AD49" s="264">
        <v>15</v>
      </c>
      <c r="AE49" s="66">
        <v>43472</v>
      </c>
      <c r="AF49" s="264">
        <v>9</v>
      </c>
      <c r="AG49" s="264" t="s">
        <v>706</v>
      </c>
      <c r="AH49" s="264">
        <v>6</v>
      </c>
      <c r="AI49" s="264" t="s">
        <v>676</v>
      </c>
      <c r="AJ49" s="264">
        <v>7</v>
      </c>
      <c r="AK49" s="66">
        <v>43662</v>
      </c>
      <c r="AL49" s="264"/>
      <c r="AM49" s="264"/>
      <c r="AN49" s="264">
        <v>5</v>
      </c>
      <c r="AO49" s="264" t="s">
        <v>667</v>
      </c>
      <c r="AP49" s="66">
        <v>43660</v>
      </c>
      <c r="AQ49" s="264">
        <v>2</v>
      </c>
      <c r="AR49" s="264" t="s">
        <v>651</v>
      </c>
      <c r="AS49" s="264">
        <v>2</v>
      </c>
      <c r="AT49" s="264" t="s">
        <v>677</v>
      </c>
      <c r="AU49" s="66">
        <v>43713</v>
      </c>
      <c r="AV49" s="264">
        <v>4</v>
      </c>
      <c r="AW49" s="264"/>
      <c r="AX49" s="264"/>
      <c r="AY49" s="264" t="s">
        <v>650</v>
      </c>
      <c r="AZ49" s="264"/>
      <c r="BA49" s="264">
        <v>15</v>
      </c>
      <c r="BB49" s="66">
        <v>43570</v>
      </c>
      <c r="BC49" s="264" t="s">
        <v>837</v>
      </c>
      <c r="BD49" s="264">
        <v>8</v>
      </c>
      <c r="BE49" s="264"/>
      <c r="BF49" s="264" t="s">
        <v>793</v>
      </c>
      <c r="BG49" s="264">
        <v>13</v>
      </c>
      <c r="BH49" s="264" t="s">
        <v>922</v>
      </c>
      <c r="BI49" s="264" t="s">
        <v>709</v>
      </c>
      <c r="BJ49" s="264">
        <v>1</v>
      </c>
      <c r="BK49" s="264" t="s">
        <v>847</v>
      </c>
      <c r="BL49" s="66">
        <v>43681</v>
      </c>
      <c r="BM49" s="264"/>
      <c r="BN49" s="264"/>
      <c r="BO49" s="264">
        <v>1</v>
      </c>
      <c r="BP49" s="264"/>
      <c r="BQ49" s="264"/>
      <c r="BR49" s="264"/>
      <c r="BS49" s="264"/>
      <c r="BT49" s="264"/>
      <c r="BU49" s="264"/>
      <c r="BV49" s="264"/>
      <c r="BW49" s="264"/>
      <c r="BX49" s="264">
        <v>1</v>
      </c>
      <c r="BY49" s="264">
        <v>1</v>
      </c>
      <c r="BZ49" s="264"/>
      <c r="CA49" s="264" t="s">
        <v>651</v>
      </c>
      <c r="CB49" s="264"/>
      <c r="CC49" s="264"/>
      <c r="CD49" s="264"/>
      <c r="CE49" s="264"/>
      <c r="CF49" s="264"/>
      <c r="CG49" s="264"/>
      <c r="CH49" s="264"/>
      <c r="CI49" s="264"/>
      <c r="CJ49" s="264">
        <v>1</v>
      </c>
      <c r="CK49" s="264"/>
      <c r="CL49" s="264"/>
      <c r="CM49" s="264"/>
      <c r="CN49" s="264"/>
      <c r="CO49" s="264"/>
      <c r="CP49" s="264"/>
      <c r="CQ49" s="264">
        <v>1</v>
      </c>
      <c r="CR49" s="264"/>
      <c r="CS49" s="264"/>
      <c r="CT49" s="264"/>
      <c r="CU49" s="264">
        <v>11</v>
      </c>
      <c r="CV49" s="264">
        <v>7</v>
      </c>
      <c r="CW49" s="264">
        <v>6</v>
      </c>
      <c r="CX49" s="264" t="s">
        <v>769</v>
      </c>
      <c r="CY49" s="264"/>
      <c r="CZ49" s="264"/>
      <c r="DA49" s="264"/>
      <c r="DB49" s="264"/>
      <c r="DC49" s="264">
        <v>1</v>
      </c>
      <c r="DD49" s="264"/>
      <c r="DE49" s="264"/>
      <c r="DF49" s="264">
        <v>1</v>
      </c>
      <c r="DG49" s="264">
        <v>1</v>
      </c>
      <c r="DH49" s="264"/>
      <c r="DI49" s="264" t="s">
        <v>651</v>
      </c>
      <c r="DJ49" s="264"/>
      <c r="DK49" s="264"/>
      <c r="DL49" s="264"/>
      <c r="DM49" s="264"/>
      <c r="DN49" s="264"/>
      <c r="DO49" s="264">
        <v>1</v>
      </c>
      <c r="DP49" s="264"/>
      <c r="DQ49" s="264" t="s">
        <v>651</v>
      </c>
      <c r="DR49" s="264">
        <v>1</v>
      </c>
      <c r="DS49" s="264" t="s">
        <v>651</v>
      </c>
      <c r="DT49" s="264">
        <v>1</v>
      </c>
      <c r="DU49" s="264" t="s">
        <v>651</v>
      </c>
      <c r="DV49" s="264"/>
      <c r="DW49" s="264"/>
      <c r="DX49" s="264">
        <v>2</v>
      </c>
      <c r="DY49" s="264" t="s">
        <v>651</v>
      </c>
      <c r="DZ49" s="264">
        <v>2</v>
      </c>
      <c r="EA49" s="264" t="s">
        <v>651</v>
      </c>
      <c r="EB49" s="264">
        <v>1</v>
      </c>
      <c r="EC49" s="264" t="s">
        <v>651</v>
      </c>
      <c r="ED49" s="264" t="s">
        <v>651</v>
      </c>
      <c r="EE49" s="264"/>
      <c r="EF49" s="264"/>
      <c r="EG49" s="264"/>
      <c r="EH49" s="264"/>
      <c r="EI49" s="264"/>
      <c r="EJ49" s="264"/>
      <c r="EK49" s="264"/>
      <c r="EL49" s="264"/>
      <c r="EM49" s="264"/>
      <c r="EN49" s="264">
        <v>1</v>
      </c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 t="s">
        <v>649</v>
      </c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 t="s">
        <v>652</v>
      </c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 t="s">
        <v>37</v>
      </c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 t="s">
        <v>653</v>
      </c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 t="s">
        <v>654</v>
      </c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 t="s">
        <v>649</v>
      </c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 t="s">
        <v>655</v>
      </c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 t="s">
        <v>37</v>
      </c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>
        <v>23</v>
      </c>
      <c r="D51" s="264"/>
      <c r="E51" s="264">
        <v>19</v>
      </c>
      <c r="F51" s="264"/>
      <c r="G51" s="264">
        <v>23</v>
      </c>
      <c r="H51" s="264"/>
      <c r="I51" s="264">
        <v>19</v>
      </c>
      <c r="J51" s="264"/>
      <c r="K51" s="264">
        <v>5</v>
      </c>
      <c r="L51" s="264"/>
      <c r="M51" s="264">
        <v>1</v>
      </c>
      <c r="N51" s="264" t="s">
        <v>1080</v>
      </c>
      <c r="O51" s="264">
        <v>5</v>
      </c>
      <c r="P51" s="264"/>
      <c r="Q51" s="264">
        <v>3</v>
      </c>
      <c r="R51" s="264"/>
      <c r="S51" s="264"/>
      <c r="T51" s="264"/>
      <c r="U51" s="264" t="s">
        <v>651</v>
      </c>
      <c r="V51" s="264"/>
      <c r="W51" s="264"/>
      <c r="X51" s="264">
        <v>13</v>
      </c>
      <c r="Y51" s="264"/>
      <c r="Z51" s="264">
        <v>10</v>
      </c>
      <c r="AA51" s="264"/>
      <c r="AB51" s="264">
        <v>3</v>
      </c>
      <c r="AC51" s="264" t="s">
        <v>1009</v>
      </c>
      <c r="AD51" s="264">
        <v>10</v>
      </c>
      <c r="AE51" s="264"/>
      <c r="AF51" s="264">
        <v>9</v>
      </c>
      <c r="AG51" s="264"/>
      <c r="AH51" s="264">
        <v>2</v>
      </c>
      <c r="AI51" s="264" t="s">
        <v>684</v>
      </c>
      <c r="AJ51" s="264">
        <v>10</v>
      </c>
      <c r="AK51" s="264"/>
      <c r="AL51" s="264">
        <v>1</v>
      </c>
      <c r="AM51" s="264"/>
      <c r="AN51" s="264">
        <v>3</v>
      </c>
      <c r="AO51" s="264"/>
      <c r="AP51" s="264" t="s">
        <v>1010</v>
      </c>
      <c r="AQ51" s="264"/>
      <c r="AR51" s="264"/>
      <c r="AS51" s="264">
        <v>2</v>
      </c>
      <c r="AT51" s="264"/>
      <c r="AU51" s="66">
        <v>43654</v>
      </c>
      <c r="AV51" s="264">
        <v>5</v>
      </c>
      <c r="AW51" s="264"/>
      <c r="AX51" s="264">
        <v>1</v>
      </c>
      <c r="AY51" s="264"/>
      <c r="AZ51" s="66">
        <v>43529</v>
      </c>
      <c r="BA51" s="264">
        <v>12</v>
      </c>
      <c r="BB51" s="264"/>
      <c r="BC51" s="264" t="s">
        <v>1091</v>
      </c>
      <c r="BD51" s="264">
        <v>6</v>
      </c>
      <c r="BE51" s="264"/>
      <c r="BF51" s="264" t="s">
        <v>1025</v>
      </c>
      <c r="BG51" s="264">
        <v>11</v>
      </c>
      <c r="BH51" s="264"/>
      <c r="BI51" s="264" t="s">
        <v>681</v>
      </c>
      <c r="BJ51" s="264"/>
      <c r="BK51" s="264"/>
      <c r="BL51" s="264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>
        <v>1</v>
      </c>
      <c r="BZ51" s="264"/>
      <c r="CA51" s="264" t="s">
        <v>651</v>
      </c>
      <c r="CB51" s="264"/>
      <c r="CC51" s="264">
        <v>1</v>
      </c>
      <c r="CD51" s="264"/>
      <c r="CE51" s="264" t="s">
        <v>651</v>
      </c>
      <c r="CF51" s="264">
        <v>1</v>
      </c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>
        <v>5</v>
      </c>
      <c r="CV51" s="264">
        <v>7</v>
      </c>
      <c r="CW51" s="264">
        <v>4</v>
      </c>
      <c r="CX51" s="264" t="s">
        <v>824</v>
      </c>
      <c r="CY51" s="264">
        <v>1</v>
      </c>
      <c r="CZ51" s="264"/>
      <c r="DA51" s="264"/>
      <c r="DB51" s="264"/>
      <c r="DC51" s="264"/>
      <c r="DD51" s="264"/>
      <c r="DE51" s="264"/>
      <c r="DF51" s="264">
        <v>2</v>
      </c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>
        <v>1</v>
      </c>
      <c r="DS51" s="264"/>
      <c r="DT51" s="264">
        <v>1</v>
      </c>
      <c r="DU51" s="264"/>
      <c r="DV51" s="264">
        <v>1</v>
      </c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>
        <v>25</v>
      </c>
      <c r="D52" s="66">
        <v>43654</v>
      </c>
      <c r="E52" s="264">
        <v>23</v>
      </c>
      <c r="F52" s="66">
        <v>43486</v>
      </c>
      <c r="G52" s="264">
        <v>25</v>
      </c>
      <c r="H52" s="66">
        <v>43654</v>
      </c>
      <c r="I52" s="264">
        <v>23</v>
      </c>
      <c r="J52" s="66">
        <v>43486</v>
      </c>
      <c r="K52" s="264">
        <v>6</v>
      </c>
      <c r="L52" s="264" t="s">
        <v>690</v>
      </c>
      <c r="M52" s="264"/>
      <c r="N52" s="264" t="s">
        <v>680</v>
      </c>
      <c r="O52" s="264">
        <v>3</v>
      </c>
      <c r="P52" s="264" t="s">
        <v>706</v>
      </c>
      <c r="Q52" s="264">
        <v>8</v>
      </c>
      <c r="R52" s="264" t="s">
        <v>745</v>
      </c>
      <c r="S52" s="264"/>
      <c r="T52" s="264"/>
      <c r="U52" s="264" t="s">
        <v>651</v>
      </c>
      <c r="V52" s="264"/>
      <c r="W52" s="264"/>
      <c r="X52" s="264">
        <v>16</v>
      </c>
      <c r="Y52" s="66">
        <v>43488</v>
      </c>
      <c r="Z52" s="264">
        <v>13</v>
      </c>
      <c r="AA52" s="264" t="s">
        <v>701</v>
      </c>
      <c r="AB52" s="264">
        <v>2</v>
      </c>
      <c r="AC52" s="264" t="s">
        <v>700</v>
      </c>
      <c r="AD52" s="264">
        <v>9</v>
      </c>
      <c r="AE52" s="264" t="s">
        <v>758</v>
      </c>
      <c r="AF52" s="264">
        <v>10</v>
      </c>
      <c r="AG52" s="66">
        <v>43476</v>
      </c>
      <c r="AH52" s="264">
        <v>4</v>
      </c>
      <c r="AI52" s="264" t="s">
        <v>837</v>
      </c>
      <c r="AJ52" s="264">
        <v>13</v>
      </c>
      <c r="AK52" s="264" t="s">
        <v>701</v>
      </c>
      <c r="AL52" s="264"/>
      <c r="AM52" s="264" t="s">
        <v>650</v>
      </c>
      <c r="AN52" s="264">
        <v>2</v>
      </c>
      <c r="AO52" s="264" t="s">
        <v>677</v>
      </c>
      <c r="AP52" s="264" t="s">
        <v>659</v>
      </c>
      <c r="AQ52" s="264"/>
      <c r="AR52" s="264"/>
      <c r="AS52" s="264"/>
      <c r="AT52" s="264" t="s">
        <v>650</v>
      </c>
      <c r="AU52" s="264"/>
      <c r="AV52" s="264">
        <v>4</v>
      </c>
      <c r="AW52" s="264" t="s">
        <v>669</v>
      </c>
      <c r="AX52" s="264">
        <v>1</v>
      </c>
      <c r="AY52" s="264"/>
      <c r="AZ52" s="66">
        <v>43528</v>
      </c>
      <c r="BA52" s="264">
        <v>15</v>
      </c>
      <c r="BB52" s="264" t="s">
        <v>688</v>
      </c>
      <c r="BC52" s="264" t="s">
        <v>695</v>
      </c>
      <c r="BD52" s="264">
        <v>6</v>
      </c>
      <c r="BE52" s="264"/>
      <c r="BF52" s="66">
        <v>43491</v>
      </c>
      <c r="BG52" s="264">
        <v>14</v>
      </c>
      <c r="BH52" s="66">
        <v>43551</v>
      </c>
      <c r="BI52" s="264" t="s">
        <v>1086</v>
      </c>
      <c r="BJ52" s="264">
        <v>1</v>
      </c>
      <c r="BK52" s="264" t="s">
        <v>651</v>
      </c>
      <c r="BL52" s="66">
        <v>43528</v>
      </c>
      <c r="BM52" s="264">
        <v>1</v>
      </c>
      <c r="BN52" s="264" t="s">
        <v>651</v>
      </c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>
        <v>2</v>
      </c>
      <c r="BZ52" s="264"/>
      <c r="CA52" s="264" t="s">
        <v>651</v>
      </c>
      <c r="CB52" s="264"/>
      <c r="CC52" s="264">
        <v>1</v>
      </c>
      <c r="CD52" s="264"/>
      <c r="CE52" s="264" t="s">
        <v>651</v>
      </c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>
        <v>6</v>
      </c>
      <c r="CV52" s="264">
        <v>2</v>
      </c>
      <c r="CW52" s="264">
        <v>5</v>
      </c>
      <c r="CX52" s="66">
        <v>43644</v>
      </c>
      <c r="CY52" s="264"/>
      <c r="CZ52" s="264"/>
      <c r="DA52" s="264"/>
      <c r="DB52" s="264"/>
      <c r="DC52" s="264"/>
      <c r="DD52" s="264"/>
      <c r="DE52" s="264"/>
      <c r="DF52" s="264">
        <v>2</v>
      </c>
      <c r="DG52" s="264"/>
      <c r="DH52" s="264">
        <v>1</v>
      </c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 t="s">
        <v>650</v>
      </c>
      <c r="DT52" s="264"/>
      <c r="DU52" s="264" t="s">
        <v>650</v>
      </c>
      <c r="DV52" s="264"/>
      <c r="DW52" s="264" t="s">
        <v>650</v>
      </c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 t="s">
        <v>649</v>
      </c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 t="s">
        <v>652</v>
      </c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 t="s">
        <v>37</v>
      </c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 t="s">
        <v>653</v>
      </c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 t="s">
        <v>654</v>
      </c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 t="s">
        <v>649</v>
      </c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 t="s">
        <v>655</v>
      </c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 t="s">
        <v>37</v>
      </c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>
        <v>411</v>
      </c>
      <c r="D54" s="264"/>
      <c r="E54" s="264">
        <v>279</v>
      </c>
      <c r="F54" s="264"/>
      <c r="G54" s="264">
        <v>411</v>
      </c>
      <c r="H54" s="264"/>
      <c r="I54" s="264">
        <v>279</v>
      </c>
      <c r="J54" s="264"/>
      <c r="K54" s="264">
        <v>93</v>
      </c>
      <c r="L54" s="264"/>
      <c r="M54" s="264">
        <v>1</v>
      </c>
      <c r="N54" s="264" t="s">
        <v>734</v>
      </c>
      <c r="O54" s="264">
        <v>77</v>
      </c>
      <c r="P54" s="264"/>
      <c r="Q54" s="264">
        <v>53</v>
      </c>
      <c r="R54" s="264"/>
      <c r="S54" s="264">
        <v>12</v>
      </c>
      <c r="T54" s="264"/>
      <c r="U54" s="264" t="s">
        <v>844</v>
      </c>
      <c r="V54" s="264">
        <v>16</v>
      </c>
      <c r="W54" s="66">
        <v>43647</v>
      </c>
      <c r="X54" s="264">
        <v>202</v>
      </c>
      <c r="Y54" s="264"/>
      <c r="Z54" s="264">
        <v>163</v>
      </c>
      <c r="AA54" s="264"/>
      <c r="AB54" s="264">
        <v>26</v>
      </c>
      <c r="AC54" s="264" t="s">
        <v>1005</v>
      </c>
      <c r="AD54" s="264">
        <v>209</v>
      </c>
      <c r="AE54" s="264"/>
      <c r="AF54" s="264">
        <v>116</v>
      </c>
      <c r="AG54" s="264"/>
      <c r="AH54" s="264">
        <v>67</v>
      </c>
      <c r="AI54" s="264" t="s">
        <v>1070</v>
      </c>
      <c r="AJ54" s="264">
        <v>100</v>
      </c>
      <c r="AK54" s="264"/>
      <c r="AL54" s="264">
        <v>1</v>
      </c>
      <c r="AM54" s="264"/>
      <c r="AN54" s="264">
        <v>101</v>
      </c>
      <c r="AO54" s="264"/>
      <c r="AP54" s="66">
        <v>43640</v>
      </c>
      <c r="AQ54" s="264">
        <v>10</v>
      </c>
      <c r="AR54" s="264"/>
      <c r="AS54" s="264">
        <v>60</v>
      </c>
      <c r="AT54" s="264"/>
      <c r="AU54" s="66">
        <v>43630</v>
      </c>
      <c r="AV54" s="264">
        <v>47</v>
      </c>
      <c r="AW54" s="264"/>
      <c r="AX54" s="264">
        <v>24</v>
      </c>
      <c r="AY54" s="264"/>
      <c r="AZ54" s="66">
        <v>43624</v>
      </c>
      <c r="BA54" s="264">
        <v>171</v>
      </c>
      <c r="BB54" s="264"/>
      <c r="BC54" s="264" t="s">
        <v>1082</v>
      </c>
      <c r="BD54" s="264">
        <v>120</v>
      </c>
      <c r="BE54" s="264"/>
      <c r="BF54" s="264" t="s">
        <v>1042</v>
      </c>
      <c r="BG54" s="264">
        <v>185</v>
      </c>
      <c r="BH54" s="264"/>
      <c r="BI54" s="264" t="s">
        <v>989</v>
      </c>
      <c r="BJ54" s="264">
        <v>24</v>
      </c>
      <c r="BK54" s="264"/>
      <c r="BL54" s="66">
        <v>43624</v>
      </c>
      <c r="BM54" s="264">
        <v>23</v>
      </c>
      <c r="BN54" s="264" t="s">
        <v>1076</v>
      </c>
      <c r="BO54" s="264"/>
      <c r="BP54" s="264">
        <v>1</v>
      </c>
      <c r="BQ54" s="264">
        <v>2</v>
      </c>
      <c r="BR54" s="264"/>
      <c r="BS54" s="264" t="s">
        <v>651</v>
      </c>
      <c r="BT54" s="264"/>
      <c r="BU54" s="264"/>
      <c r="BV54" s="264"/>
      <c r="BW54" s="264"/>
      <c r="BX54" s="264">
        <v>8</v>
      </c>
      <c r="BY54" s="264">
        <v>11</v>
      </c>
      <c r="BZ54" s="264"/>
      <c r="CA54" s="264" t="s">
        <v>651</v>
      </c>
      <c r="CB54" s="264">
        <v>2</v>
      </c>
      <c r="CC54" s="264">
        <v>2</v>
      </c>
      <c r="CD54" s="264"/>
      <c r="CE54" s="264" t="s">
        <v>651</v>
      </c>
      <c r="CF54" s="264">
        <v>2</v>
      </c>
      <c r="CG54" s="264"/>
      <c r="CH54" s="264">
        <v>2</v>
      </c>
      <c r="CI54" s="264"/>
      <c r="CJ54" s="264">
        <v>10</v>
      </c>
      <c r="CK54" s="264">
        <v>5</v>
      </c>
      <c r="CL54" s="264">
        <v>1</v>
      </c>
      <c r="CM54" s="264" t="s">
        <v>674</v>
      </c>
      <c r="CN54" s="264"/>
      <c r="CO54" s="264"/>
      <c r="CP54" s="264"/>
      <c r="CQ54" s="264">
        <v>4</v>
      </c>
      <c r="CR54" s="264"/>
      <c r="CS54" s="264">
        <v>1</v>
      </c>
      <c r="CT54" s="264"/>
      <c r="CU54" s="264">
        <v>154</v>
      </c>
      <c r="CV54" s="264">
        <v>78</v>
      </c>
      <c r="CW54" s="264">
        <v>58</v>
      </c>
      <c r="CX54" s="264" t="s">
        <v>878</v>
      </c>
      <c r="CY54" s="264">
        <v>15</v>
      </c>
      <c r="CZ54" s="264">
        <v>6</v>
      </c>
      <c r="DA54" s="264">
        <v>3</v>
      </c>
      <c r="DB54" s="264" t="s">
        <v>667</v>
      </c>
      <c r="DC54" s="264">
        <v>2</v>
      </c>
      <c r="DD54" s="264">
        <v>1</v>
      </c>
      <c r="DE54" s="264"/>
      <c r="DF54" s="264">
        <v>27</v>
      </c>
      <c r="DG54" s="264">
        <v>5</v>
      </c>
      <c r="DH54" s="264">
        <v>19</v>
      </c>
      <c r="DI54" s="66">
        <v>43697</v>
      </c>
      <c r="DJ54" s="264"/>
      <c r="DK54" s="264"/>
      <c r="DL54" s="264"/>
      <c r="DM54" s="264"/>
      <c r="DN54" s="264">
        <v>3</v>
      </c>
      <c r="DO54" s="264">
        <v>5</v>
      </c>
      <c r="DP54" s="264">
        <v>2</v>
      </c>
      <c r="DQ54" s="264" t="s">
        <v>837</v>
      </c>
      <c r="DR54" s="264">
        <v>9</v>
      </c>
      <c r="DS54" s="264"/>
      <c r="DT54" s="264">
        <v>8</v>
      </c>
      <c r="DU54" s="264"/>
      <c r="DV54" s="264">
        <v>5</v>
      </c>
      <c r="DW54" s="264"/>
      <c r="DX54" s="264">
        <v>12</v>
      </c>
      <c r="DY54" s="264"/>
      <c r="DZ54" s="264">
        <v>11</v>
      </c>
      <c r="EA54" s="264"/>
      <c r="EB54" s="264">
        <v>8</v>
      </c>
      <c r="EC54" s="264"/>
      <c r="ED54" s="264" t="s">
        <v>1465</v>
      </c>
      <c r="EE54" s="264">
        <v>1</v>
      </c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>
        <v>1</v>
      </c>
      <c r="ER54" s="264"/>
      <c r="ES54" s="264">
        <v>1</v>
      </c>
      <c r="ET54" s="264"/>
      <c r="EU54" s="264"/>
    </row>
    <row r="55" spans="1:151">
      <c r="A55" s="253"/>
      <c r="B55" s="264" t="s">
        <v>1161</v>
      </c>
      <c r="C55" s="264">
        <v>419</v>
      </c>
      <c r="D55" s="66">
        <v>43709</v>
      </c>
      <c r="E55" s="264">
        <v>254</v>
      </c>
      <c r="F55" s="264" t="s">
        <v>1405</v>
      </c>
      <c r="G55" s="264">
        <v>419</v>
      </c>
      <c r="H55" s="66">
        <v>43709</v>
      </c>
      <c r="I55" s="264">
        <v>254</v>
      </c>
      <c r="J55" s="264" t="s">
        <v>1405</v>
      </c>
      <c r="K55" s="264">
        <v>110</v>
      </c>
      <c r="L55" s="66">
        <v>43542</v>
      </c>
      <c r="M55" s="264">
        <v>3</v>
      </c>
      <c r="N55" s="264" t="s">
        <v>1287</v>
      </c>
      <c r="O55" s="264">
        <v>73</v>
      </c>
      <c r="P55" s="264" t="s">
        <v>1301</v>
      </c>
      <c r="Q55" s="264">
        <v>47</v>
      </c>
      <c r="R55" s="264" t="s">
        <v>1392</v>
      </c>
      <c r="S55" s="264">
        <v>14</v>
      </c>
      <c r="T55" s="66">
        <v>43662</v>
      </c>
      <c r="U55" s="264" t="s">
        <v>1408</v>
      </c>
      <c r="V55" s="264">
        <v>11</v>
      </c>
      <c r="W55" s="66">
        <v>43497</v>
      </c>
      <c r="X55" s="264">
        <v>207</v>
      </c>
      <c r="Y55" s="66">
        <v>43587</v>
      </c>
      <c r="Z55" s="264">
        <v>143</v>
      </c>
      <c r="AA55" s="264" t="s">
        <v>898</v>
      </c>
      <c r="AB55" s="264">
        <v>25</v>
      </c>
      <c r="AC55" s="264" t="s">
        <v>1096</v>
      </c>
      <c r="AD55" s="264">
        <v>212</v>
      </c>
      <c r="AE55" s="66">
        <v>43556</v>
      </c>
      <c r="AF55" s="264">
        <v>111</v>
      </c>
      <c r="AG55" s="264" t="s">
        <v>1422</v>
      </c>
      <c r="AH55" s="264">
        <v>85</v>
      </c>
      <c r="AI55" s="264" t="s">
        <v>1119</v>
      </c>
      <c r="AJ55" s="264">
        <v>102</v>
      </c>
      <c r="AK55" s="264" t="s">
        <v>859</v>
      </c>
      <c r="AL55" s="264">
        <v>2</v>
      </c>
      <c r="AM55" s="264" t="s">
        <v>651</v>
      </c>
      <c r="AN55" s="264">
        <v>92</v>
      </c>
      <c r="AO55" s="264" t="s">
        <v>1342</v>
      </c>
      <c r="AP55" s="264" t="s">
        <v>1019</v>
      </c>
      <c r="AQ55" s="264">
        <v>11</v>
      </c>
      <c r="AR55" s="264" t="s">
        <v>704</v>
      </c>
      <c r="AS55" s="264">
        <v>61</v>
      </c>
      <c r="AT55" s="66">
        <v>43647</v>
      </c>
      <c r="AU55" s="66">
        <v>43630</v>
      </c>
      <c r="AV55" s="264">
        <v>43</v>
      </c>
      <c r="AW55" s="264" t="s">
        <v>1304</v>
      </c>
      <c r="AX55" s="264">
        <v>17</v>
      </c>
      <c r="AY55" s="264" t="s">
        <v>1311</v>
      </c>
      <c r="AZ55" s="66">
        <v>43652</v>
      </c>
      <c r="BA55" s="264">
        <v>155</v>
      </c>
      <c r="BB55" s="264" t="s">
        <v>775</v>
      </c>
      <c r="BC55" s="264" t="s">
        <v>1345</v>
      </c>
      <c r="BD55" s="264">
        <v>102</v>
      </c>
      <c r="BE55" s="264" t="s">
        <v>1111</v>
      </c>
      <c r="BF55" s="264" t="s">
        <v>1417</v>
      </c>
      <c r="BG55" s="264">
        <v>176</v>
      </c>
      <c r="BH55" s="264" t="s">
        <v>942</v>
      </c>
      <c r="BI55" s="264" t="s">
        <v>1387</v>
      </c>
      <c r="BJ55" s="264">
        <v>26</v>
      </c>
      <c r="BK55" s="66">
        <v>43532</v>
      </c>
      <c r="BL55" s="66">
        <v>43506</v>
      </c>
      <c r="BM55" s="264">
        <v>23</v>
      </c>
      <c r="BN55" s="264" t="s">
        <v>1401</v>
      </c>
      <c r="BO55" s="264">
        <v>3</v>
      </c>
      <c r="BP55" s="264">
        <v>7</v>
      </c>
      <c r="BQ55" s="264">
        <v>3</v>
      </c>
      <c r="BR55" s="264"/>
      <c r="BS55" s="264" t="s">
        <v>651</v>
      </c>
      <c r="BT55" s="264"/>
      <c r="BU55" s="264"/>
      <c r="BV55" s="264"/>
      <c r="BW55" s="264"/>
      <c r="BX55" s="264">
        <v>5</v>
      </c>
      <c r="BY55" s="264">
        <v>7</v>
      </c>
      <c r="BZ55" s="264">
        <v>1</v>
      </c>
      <c r="CA55" s="264" t="s">
        <v>720</v>
      </c>
      <c r="CB55" s="264"/>
      <c r="CC55" s="264">
        <v>1</v>
      </c>
      <c r="CD55" s="264"/>
      <c r="CE55" s="264" t="s">
        <v>651</v>
      </c>
      <c r="CF55" s="264">
        <v>1</v>
      </c>
      <c r="CG55" s="264">
        <v>2</v>
      </c>
      <c r="CH55" s="264"/>
      <c r="CI55" s="264" t="s">
        <v>651</v>
      </c>
      <c r="CJ55" s="264">
        <v>5</v>
      </c>
      <c r="CK55" s="264">
        <v>5</v>
      </c>
      <c r="CL55" s="264"/>
      <c r="CM55" s="264" t="s">
        <v>651</v>
      </c>
      <c r="CN55" s="264"/>
      <c r="CO55" s="264"/>
      <c r="CP55" s="264"/>
      <c r="CQ55" s="264">
        <v>4</v>
      </c>
      <c r="CR55" s="264"/>
      <c r="CS55" s="264">
        <v>2</v>
      </c>
      <c r="CT55" s="264"/>
      <c r="CU55" s="264">
        <v>140</v>
      </c>
      <c r="CV55" s="264">
        <v>78</v>
      </c>
      <c r="CW55" s="264">
        <v>80</v>
      </c>
      <c r="CX55" s="264" t="s">
        <v>1319</v>
      </c>
      <c r="CY55" s="264">
        <v>4</v>
      </c>
      <c r="CZ55" s="264">
        <v>8</v>
      </c>
      <c r="DA55" s="264">
        <v>2</v>
      </c>
      <c r="DB55" s="264" t="s">
        <v>693</v>
      </c>
      <c r="DC55" s="264">
        <v>1</v>
      </c>
      <c r="DD55" s="264">
        <v>2</v>
      </c>
      <c r="DE55" s="264"/>
      <c r="DF55" s="264">
        <v>24</v>
      </c>
      <c r="DG55" s="264">
        <v>4</v>
      </c>
      <c r="DH55" s="264">
        <v>12</v>
      </c>
      <c r="DI55" s="264" t="s">
        <v>688</v>
      </c>
      <c r="DJ55" s="264">
        <v>3</v>
      </c>
      <c r="DK55" s="264">
        <v>2</v>
      </c>
      <c r="DL55" s="264"/>
      <c r="DM55" s="264" t="s">
        <v>651</v>
      </c>
      <c r="DN55" s="264">
        <v>3</v>
      </c>
      <c r="DO55" s="264">
        <v>5</v>
      </c>
      <c r="DP55" s="264">
        <v>1</v>
      </c>
      <c r="DQ55" s="264" t="s">
        <v>674</v>
      </c>
      <c r="DR55" s="264">
        <v>8</v>
      </c>
      <c r="DS55" s="264" t="s">
        <v>875</v>
      </c>
      <c r="DT55" s="264">
        <v>6</v>
      </c>
      <c r="DU55" s="264" t="s">
        <v>672</v>
      </c>
      <c r="DV55" s="264">
        <v>3</v>
      </c>
      <c r="DW55" s="264" t="s">
        <v>706</v>
      </c>
      <c r="DX55" s="264">
        <v>7</v>
      </c>
      <c r="DY55" s="264" t="s">
        <v>852</v>
      </c>
      <c r="DZ55" s="264">
        <v>7</v>
      </c>
      <c r="EA55" s="264" t="s">
        <v>724</v>
      </c>
      <c r="EB55" s="264">
        <v>3</v>
      </c>
      <c r="EC55" s="264" t="s">
        <v>812</v>
      </c>
      <c r="ED55" s="264" t="s">
        <v>651</v>
      </c>
      <c r="EE55" s="264">
        <v>1</v>
      </c>
      <c r="EF55" s="264">
        <v>1</v>
      </c>
      <c r="EG55" s="264"/>
      <c r="EH55" s="264"/>
      <c r="EI55" s="264"/>
      <c r="EJ55" s="264"/>
      <c r="EK55" s="264"/>
      <c r="EL55" s="264"/>
      <c r="EM55" s="264"/>
      <c r="EN55" s="264">
        <v>3</v>
      </c>
      <c r="EO55" s="264"/>
      <c r="EP55" s="264"/>
      <c r="EQ55" s="264">
        <v>2</v>
      </c>
      <c r="ER55" s="264"/>
      <c r="ES55" s="264">
        <v>2</v>
      </c>
      <c r="ET55" s="264"/>
      <c r="EU55" s="264"/>
    </row>
    <row r="56" spans="1:151" ht="15" customHeight="1">
      <c r="A56" s="254"/>
      <c r="B56" s="1" t="s">
        <v>1</v>
      </c>
      <c r="C56" s="264" t="s">
        <v>649</v>
      </c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 t="s">
        <v>652</v>
      </c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 t="s">
        <v>37</v>
      </c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 t="s">
        <v>653</v>
      </c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 t="s">
        <v>654</v>
      </c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 t="s">
        <v>649</v>
      </c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 t="s">
        <v>655</v>
      </c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 t="s">
        <v>37</v>
      </c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>
        <v>134</v>
      </c>
      <c r="D57" s="264"/>
      <c r="E57" s="264">
        <v>57</v>
      </c>
      <c r="F57" s="264"/>
      <c r="G57" s="264">
        <v>134</v>
      </c>
      <c r="H57" s="264"/>
      <c r="I57" s="264">
        <v>57</v>
      </c>
      <c r="J57" s="264"/>
      <c r="K57" s="264">
        <v>94</v>
      </c>
      <c r="L57" s="264"/>
      <c r="M57" s="264">
        <v>2</v>
      </c>
      <c r="N57" s="264" t="s">
        <v>1017</v>
      </c>
      <c r="O57" s="264">
        <v>22</v>
      </c>
      <c r="P57" s="264"/>
      <c r="Q57" s="264">
        <v>7</v>
      </c>
      <c r="R57" s="264"/>
      <c r="S57" s="264">
        <v>18</v>
      </c>
      <c r="T57" s="264"/>
      <c r="U57" s="264" t="s">
        <v>1000</v>
      </c>
      <c r="V57" s="264">
        <v>7</v>
      </c>
      <c r="W57" s="66">
        <v>43678</v>
      </c>
      <c r="X57" s="264">
        <v>59</v>
      </c>
      <c r="Y57" s="264"/>
      <c r="Z57" s="264">
        <v>37</v>
      </c>
      <c r="AA57" s="264"/>
      <c r="AB57" s="264">
        <v>17</v>
      </c>
      <c r="AC57" s="264" t="s">
        <v>870</v>
      </c>
      <c r="AD57" s="264">
        <v>75</v>
      </c>
      <c r="AE57" s="264"/>
      <c r="AF57" s="264">
        <v>20</v>
      </c>
      <c r="AG57" s="264"/>
      <c r="AH57" s="264">
        <v>77</v>
      </c>
      <c r="AI57" s="66">
        <v>43636</v>
      </c>
      <c r="AJ57" s="264">
        <v>19</v>
      </c>
      <c r="AK57" s="264"/>
      <c r="AL57" s="264"/>
      <c r="AM57" s="264"/>
      <c r="AN57" s="264">
        <v>53</v>
      </c>
      <c r="AO57" s="264"/>
      <c r="AP57" s="264" t="s">
        <v>1167</v>
      </c>
      <c r="AQ57" s="264">
        <v>6</v>
      </c>
      <c r="AR57" s="264"/>
      <c r="AS57" s="264">
        <v>26</v>
      </c>
      <c r="AT57" s="264"/>
      <c r="AU57" s="66">
        <v>43574</v>
      </c>
      <c r="AV57" s="264">
        <v>16</v>
      </c>
      <c r="AW57" s="264"/>
      <c r="AX57" s="264"/>
      <c r="AY57" s="264"/>
      <c r="AZ57" s="264"/>
      <c r="BA57" s="264">
        <v>26</v>
      </c>
      <c r="BB57" s="264"/>
      <c r="BC57" s="264" t="s">
        <v>1164</v>
      </c>
      <c r="BD57" s="264">
        <v>8</v>
      </c>
      <c r="BE57" s="264"/>
      <c r="BF57" s="264" t="s">
        <v>691</v>
      </c>
      <c r="BG57" s="264">
        <v>24</v>
      </c>
      <c r="BH57" s="264"/>
      <c r="BI57" s="264" t="s">
        <v>955</v>
      </c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>
        <v>1</v>
      </c>
      <c r="BU57" s="264"/>
      <c r="BV57" s="264"/>
      <c r="BW57" s="264"/>
      <c r="BX57" s="264">
        <v>2</v>
      </c>
      <c r="BY57" s="264">
        <v>2</v>
      </c>
      <c r="BZ57" s="264"/>
      <c r="CA57" s="264" t="s">
        <v>651</v>
      </c>
      <c r="CB57" s="264"/>
      <c r="CC57" s="264">
        <v>1</v>
      </c>
      <c r="CD57" s="264"/>
      <c r="CE57" s="264" t="s">
        <v>651</v>
      </c>
      <c r="CF57" s="264"/>
      <c r="CG57" s="264"/>
      <c r="CH57" s="264"/>
      <c r="CI57" s="264"/>
      <c r="CJ57" s="264"/>
      <c r="CK57" s="264">
        <v>1</v>
      </c>
      <c r="CL57" s="264">
        <v>2</v>
      </c>
      <c r="CM57" s="264" t="s">
        <v>714</v>
      </c>
      <c r="CN57" s="264">
        <v>1</v>
      </c>
      <c r="CO57" s="264"/>
      <c r="CP57" s="264"/>
      <c r="CQ57" s="264"/>
      <c r="CR57" s="264"/>
      <c r="CS57" s="264"/>
      <c r="CT57" s="264"/>
      <c r="CU57" s="264">
        <v>56</v>
      </c>
      <c r="CV57" s="264">
        <v>18</v>
      </c>
      <c r="CW57" s="264">
        <v>63</v>
      </c>
      <c r="CX57" s="66">
        <v>43518</v>
      </c>
      <c r="CY57" s="264">
        <v>2</v>
      </c>
      <c r="CZ57" s="264">
        <v>1</v>
      </c>
      <c r="DA57" s="264"/>
      <c r="DB57" s="264" t="s">
        <v>651</v>
      </c>
      <c r="DC57" s="264"/>
      <c r="DD57" s="264"/>
      <c r="DE57" s="264"/>
      <c r="DF57" s="264">
        <v>22</v>
      </c>
      <c r="DG57" s="264">
        <v>7</v>
      </c>
      <c r="DH57" s="264">
        <v>12</v>
      </c>
      <c r="DI57" s="264" t="s">
        <v>866</v>
      </c>
      <c r="DJ57" s="264"/>
      <c r="DK57" s="264"/>
      <c r="DL57" s="264"/>
      <c r="DM57" s="264"/>
      <c r="DN57" s="264"/>
      <c r="DO57" s="264">
        <v>1</v>
      </c>
      <c r="DP57" s="264"/>
      <c r="DQ57" s="264" t="s">
        <v>651</v>
      </c>
      <c r="DR57" s="264">
        <v>5</v>
      </c>
      <c r="DS57" s="264"/>
      <c r="DT57" s="264">
        <v>4</v>
      </c>
      <c r="DU57" s="264"/>
      <c r="DV57" s="264">
        <v>3</v>
      </c>
      <c r="DW57" s="264"/>
      <c r="DX57" s="264">
        <v>1</v>
      </c>
      <c r="DY57" s="264"/>
      <c r="DZ57" s="264">
        <v>1</v>
      </c>
      <c r="EA57" s="264"/>
      <c r="EB57" s="264"/>
      <c r="EC57" s="264"/>
      <c r="ED57" s="264" t="s">
        <v>651</v>
      </c>
      <c r="EE57" s="264">
        <v>1</v>
      </c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>
        <v>1</v>
      </c>
      <c r="ER57" s="264"/>
      <c r="ES57" s="264"/>
      <c r="ET57" s="264"/>
      <c r="EU57" s="264"/>
    </row>
    <row r="58" spans="1:151">
      <c r="A58" s="259"/>
      <c r="B58" s="1" t="s">
        <v>283</v>
      </c>
      <c r="C58" s="264">
        <v>172</v>
      </c>
      <c r="D58" s="66">
        <v>43583</v>
      </c>
      <c r="E58" s="264">
        <v>43</v>
      </c>
      <c r="F58" s="264" t="s">
        <v>1078</v>
      </c>
      <c r="G58" s="264">
        <v>172</v>
      </c>
      <c r="H58" s="66">
        <v>43583</v>
      </c>
      <c r="I58" s="264">
        <v>43</v>
      </c>
      <c r="J58" s="264" t="s">
        <v>1078</v>
      </c>
      <c r="K58" s="264">
        <v>92</v>
      </c>
      <c r="L58" s="264" t="s">
        <v>1013</v>
      </c>
      <c r="M58" s="264"/>
      <c r="N58" s="264" t="s">
        <v>1325</v>
      </c>
      <c r="O58" s="264">
        <v>22</v>
      </c>
      <c r="P58" s="264"/>
      <c r="Q58" s="264">
        <v>4</v>
      </c>
      <c r="R58" s="264" t="s">
        <v>904</v>
      </c>
      <c r="S58" s="264">
        <v>22</v>
      </c>
      <c r="T58" s="66">
        <v>43518</v>
      </c>
      <c r="U58" s="66">
        <v>43570</v>
      </c>
      <c r="V58" s="264">
        <v>3</v>
      </c>
      <c r="W58" s="264" t="s">
        <v>843</v>
      </c>
      <c r="X58" s="264">
        <v>86</v>
      </c>
      <c r="Y58" s="264" t="s">
        <v>741</v>
      </c>
      <c r="Z58" s="264">
        <v>29</v>
      </c>
      <c r="AA58" s="264" t="s">
        <v>1396</v>
      </c>
      <c r="AB58" s="264">
        <v>22</v>
      </c>
      <c r="AC58" s="264" t="s">
        <v>1283</v>
      </c>
      <c r="AD58" s="264">
        <v>86</v>
      </c>
      <c r="AE58" s="66">
        <v>43660</v>
      </c>
      <c r="AF58" s="264">
        <v>14</v>
      </c>
      <c r="AG58" s="264" t="s">
        <v>757</v>
      </c>
      <c r="AH58" s="264">
        <v>70</v>
      </c>
      <c r="AI58" s="66">
        <v>43662</v>
      </c>
      <c r="AJ58" s="264">
        <v>16</v>
      </c>
      <c r="AK58" s="264" t="s">
        <v>988</v>
      </c>
      <c r="AL58" s="264"/>
      <c r="AM58" s="264"/>
      <c r="AN58" s="264">
        <v>67</v>
      </c>
      <c r="AO58" s="66">
        <v>43581</v>
      </c>
      <c r="AP58" s="264" t="s">
        <v>953</v>
      </c>
      <c r="AQ58" s="264">
        <v>8</v>
      </c>
      <c r="AR58" s="264" t="s">
        <v>714</v>
      </c>
      <c r="AS58" s="264">
        <v>42</v>
      </c>
      <c r="AT58" s="264" t="s">
        <v>880</v>
      </c>
      <c r="AU58" s="66">
        <v>43579</v>
      </c>
      <c r="AV58" s="264">
        <v>11</v>
      </c>
      <c r="AW58" s="264" t="s">
        <v>913</v>
      </c>
      <c r="AX58" s="264">
        <v>2</v>
      </c>
      <c r="AY58" s="264" t="s">
        <v>651</v>
      </c>
      <c r="AZ58" s="66">
        <v>43650</v>
      </c>
      <c r="BA58" s="264">
        <v>20</v>
      </c>
      <c r="BB58" s="264" t="s">
        <v>666</v>
      </c>
      <c r="BC58" s="264" t="s">
        <v>1409</v>
      </c>
      <c r="BD58" s="264">
        <v>7</v>
      </c>
      <c r="BE58" s="264" t="s">
        <v>785</v>
      </c>
      <c r="BF58" s="66">
        <v>43540</v>
      </c>
      <c r="BG58" s="264">
        <v>25</v>
      </c>
      <c r="BH58" s="66">
        <v>43500</v>
      </c>
      <c r="BI58" s="264" t="s">
        <v>1075</v>
      </c>
      <c r="BJ58" s="264">
        <v>5</v>
      </c>
      <c r="BK58" s="264" t="s">
        <v>651</v>
      </c>
      <c r="BL58" s="66">
        <v>43627</v>
      </c>
      <c r="BM58" s="264">
        <v>5</v>
      </c>
      <c r="BN58" s="264" t="s">
        <v>651</v>
      </c>
      <c r="BO58" s="264"/>
      <c r="BP58" s="264">
        <v>1</v>
      </c>
      <c r="BQ58" s="264"/>
      <c r="BR58" s="264"/>
      <c r="BS58" s="264"/>
      <c r="BT58" s="264"/>
      <c r="BU58" s="264"/>
      <c r="BV58" s="264"/>
      <c r="BW58" s="264"/>
      <c r="BX58" s="264">
        <v>3</v>
      </c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>
        <v>4</v>
      </c>
      <c r="CK58" s="264">
        <v>1</v>
      </c>
      <c r="CL58" s="264">
        <v>2</v>
      </c>
      <c r="CM58" s="264" t="s">
        <v>714</v>
      </c>
      <c r="CN58" s="264"/>
      <c r="CO58" s="264" t="s">
        <v>650</v>
      </c>
      <c r="CP58" s="264"/>
      <c r="CQ58" s="264"/>
      <c r="CR58" s="264"/>
      <c r="CS58" s="264">
        <v>1</v>
      </c>
      <c r="CT58" s="264"/>
      <c r="CU58" s="264">
        <v>66</v>
      </c>
      <c r="CV58" s="264">
        <v>12</v>
      </c>
      <c r="CW58" s="264">
        <v>50</v>
      </c>
      <c r="CX58" s="66">
        <v>43574</v>
      </c>
      <c r="CY58" s="264">
        <v>2</v>
      </c>
      <c r="CZ58" s="264"/>
      <c r="DA58" s="264"/>
      <c r="DB58" s="264"/>
      <c r="DC58" s="264">
        <v>2</v>
      </c>
      <c r="DD58" s="264">
        <v>1</v>
      </c>
      <c r="DE58" s="264"/>
      <c r="DF58" s="264">
        <v>25</v>
      </c>
      <c r="DG58" s="264">
        <v>3</v>
      </c>
      <c r="DH58" s="264">
        <v>20</v>
      </c>
      <c r="DI58" s="264" t="s">
        <v>1010</v>
      </c>
      <c r="DJ58" s="264">
        <v>1</v>
      </c>
      <c r="DK58" s="264"/>
      <c r="DL58" s="264">
        <v>2</v>
      </c>
      <c r="DM58" s="264"/>
      <c r="DN58" s="264">
        <v>2</v>
      </c>
      <c r="DO58" s="264">
        <v>1</v>
      </c>
      <c r="DP58" s="264"/>
      <c r="DQ58" s="264" t="s">
        <v>651</v>
      </c>
      <c r="DR58" s="264">
        <v>4</v>
      </c>
      <c r="DS58" s="264" t="s">
        <v>669</v>
      </c>
      <c r="DT58" s="264">
        <v>3</v>
      </c>
      <c r="DU58" s="264" t="s">
        <v>672</v>
      </c>
      <c r="DV58" s="264">
        <v>1</v>
      </c>
      <c r="DW58" s="264" t="s">
        <v>743</v>
      </c>
      <c r="DX58" s="264">
        <v>4</v>
      </c>
      <c r="DY58" s="264" t="s">
        <v>731</v>
      </c>
      <c r="DZ58" s="264">
        <v>3</v>
      </c>
      <c r="EA58" s="264" t="s">
        <v>697</v>
      </c>
      <c r="EB58" s="264">
        <v>2</v>
      </c>
      <c r="EC58" s="264" t="s">
        <v>651</v>
      </c>
      <c r="ED58" s="264" t="s">
        <v>685</v>
      </c>
      <c r="EE58" s="264">
        <v>2</v>
      </c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>
        <v>1</v>
      </c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 t="s">
        <v>649</v>
      </c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 t="s">
        <v>652</v>
      </c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 t="s">
        <v>37</v>
      </c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 t="s">
        <v>653</v>
      </c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 t="s">
        <v>654</v>
      </c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 t="s">
        <v>649</v>
      </c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 t="s">
        <v>655</v>
      </c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 t="s">
        <v>37</v>
      </c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>
        <v>164</v>
      </c>
      <c r="D60" s="264"/>
      <c r="E60" s="264">
        <v>88</v>
      </c>
      <c r="F60" s="264"/>
      <c r="G60" s="264">
        <v>164</v>
      </c>
      <c r="H60" s="264"/>
      <c r="I60" s="264">
        <v>88</v>
      </c>
      <c r="J60" s="264"/>
      <c r="K60" s="264">
        <v>107</v>
      </c>
      <c r="L60" s="264"/>
      <c r="M60" s="264">
        <v>3</v>
      </c>
      <c r="N60" s="264" t="s">
        <v>1132</v>
      </c>
      <c r="O60" s="264">
        <v>37</v>
      </c>
      <c r="P60" s="264"/>
      <c r="Q60" s="264">
        <v>17</v>
      </c>
      <c r="R60" s="264"/>
      <c r="S60" s="264">
        <v>11</v>
      </c>
      <c r="T60" s="264"/>
      <c r="U60" s="264" t="s">
        <v>947</v>
      </c>
      <c r="V60" s="264">
        <v>4</v>
      </c>
      <c r="W60" s="264" t="s">
        <v>872</v>
      </c>
      <c r="X60" s="264">
        <v>60</v>
      </c>
      <c r="Y60" s="264"/>
      <c r="Z60" s="264">
        <v>39</v>
      </c>
      <c r="AA60" s="264"/>
      <c r="AB60" s="264">
        <v>14</v>
      </c>
      <c r="AC60" s="264" t="s">
        <v>665</v>
      </c>
      <c r="AD60" s="264">
        <v>104</v>
      </c>
      <c r="AE60" s="264"/>
      <c r="AF60" s="264">
        <v>49</v>
      </c>
      <c r="AG60" s="264"/>
      <c r="AH60" s="264">
        <v>93</v>
      </c>
      <c r="AI60" s="264" t="s">
        <v>970</v>
      </c>
      <c r="AJ60" s="264">
        <v>20</v>
      </c>
      <c r="AK60" s="264"/>
      <c r="AL60" s="264"/>
      <c r="AM60" s="264"/>
      <c r="AN60" s="264">
        <v>62</v>
      </c>
      <c r="AO60" s="264"/>
      <c r="AP60" s="264" t="s">
        <v>1016</v>
      </c>
      <c r="AQ60" s="264">
        <v>6</v>
      </c>
      <c r="AR60" s="264"/>
      <c r="AS60" s="264">
        <v>36</v>
      </c>
      <c r="AT60" s="264"/>
      <c r="AU60" s="264" t="s">
        <v>1019</v>
      </c>
      <c r="AV60" s="264">
        <v>21</v>
      </c>
      <c r="AW60" s="264"/>
      <c r="AX60" s="264">
        <v>2</v>
      </c>
      <c r="AY60" s="264"/>
      <c r="AZ60" s="66">
        <v>43526</v>
      </c>
      <c r="BA60" s="264">
        <v>47</v>
      </c>
      <c r="BB60" s="264"/>
      <c r="BC60" s="264" t="s">
        <v>1081</v>
      </c>
      <c r="BD60" s="264">
        <v>29</v>
      </c>
      <c r="BE60" s="264"/>
      <c r="BF60" s="264" t="s">
        <v>1188</v>
      </c>
      <c r="BG60" s="264">
        <v>48</v>
      </c>
      <c r="BH60" s="264"/>
      <c r="BI60" s="264" t="s">
        <v>1067</v>
      </c>
      <c r="BJ60" s="264">
        <v>13</v>
      </c>
      <c r="BK60" s="264"/>
      <c r="BL60" s="66">
        <v>43691</v>
      </c>
      <c r="BM60" s="264">
        <v>7</v>
      </c>
      <c r="BN60" s="264" t="s">
        <v>769</v>
      </c>
      <c r="BO60" s="264">
        <v>6</v>
      </c>
      <c r="BP60" s="264">
        <v>1</v>
      </c>
      <c r="BQ60" s="264"/>
      <c r="BR60" s="264"/>
      <c r="BS60" s="264"/>
      <c r="BT60" s="264"/>
      <c r="BU60" s="264"/>
      <c r="BV60" s="264"/>
      <c r="BW60" s="264"/>
      <c r="BX60" s="264">
        <v>4</v>
      </c>
      <c r="BY60" s="264">
        <v>2</v>
      </c>
      <c r="BZ60" s="264"/>
      <c r="CA60" s="264" t="s">
        <v>651</v>
      </c>
      <c r="CB60" s="264"/>
      <c r="CC60" s="264"/>
      <c r="CD60" s="264"/>
      <c r="CE60" s="264"/>
      <c r="CF60" s="264">
        <v>1</v>
      </c>
      <c r="CG60" s="264">
        <v>1</v>
      </c>
      <c r="CH60" s="264"/>
      <c r="CI60" s="264" t="s">
        <v>651</v>
      </c>
      <c r="CJ60" s="264">
        <v>4</v>
      </c>
      <c r="CK60" s="264">
        <v>3</v>
      </c>
      <c r="CL60" s="264">
        <v>3</v>
      </c>
      <c r="CM60" s="264" t="s">
        <v>657</v>
      </c>
      <c r="CN60" s="264"/>
      <c r="CO60" s="264"/>
      <c r="CP60" s="264"/>
      <c r="CQ60" s="264"/>
      <c r="CR60" s="264">
        <v>2</v>
      </c>
      <c r="CS60" s="264">
        <v>1</v>
      </c>
      <c r="CT60" s="264" t="s">
        <v>667</v>
      </c>
      <c r="CU60" s="264">
        <v>64</v>
      </c>
      <c r="CV60" s="264">
        <v>34</v>
      </c>
      <c r="CW60" s="264">
        <v>66</v>
      </c>
      <c r="CX60" s="264" t="s">
        <v>1103</v>
      </c>
      <c r="CY60" s="264">
        <v>1</v>
      </c>
      <c r="CZ60" s="264"/>
      <c r="DA60" s="264">
        <v>2</v>
      </c>
      <c r="DB60" s="264"/>
      <c r="DC60" s="264"/>
      <c r="DD60" s="264"/>
      <c r="DE60" s="264"/>
      <c r="DF60" s="264">
        <v>26</v>
      </c>
      <c r="DG60" s="264">
        <v>2</v>
      </c>
      <c r="DH60" s="264">
        <v>25</v>
      </c>
      <c r="DI60" s="66">
        <v>43562</v>
      </c>
      <c r="DJ60" s="264"/>
      <c r="DK60" s="264"/>
      <c r="DL60" s="264"/>
      <c r="DM60" s="264"/>
      <c r="DN60" s="264">
        <v>3</v>
      </c>
      <c r="DO60" s="264">
        <v>3</v>
      </c>
      <c r="DP60" s="264">
        <v>1</v>
      </c>
      <c r="DQ60" s="264" t="s">
        <v>734</v>
      </c>
      <c r="DR60" s="264">
        <v>2</v>
      </c>
      <c r="DS60" s="264"/>
      <c r="DT60" s="264">
        <v>2</v>
      </c>
      <c r="DU60" s="264"/>
      <c r="DV60" s="264">
        <v>2</v>
      </c>
      <c r="DW60" s="264"/>
      <c r="DX60" s="264"/>
      <c r="DY60" s="264"/>
      <c r="DZ60" s="264"/>
      <c r="EA60" s="264"/>
      <c r="EB60" s="264"/>
      <c r="EC60" s="264"/>
      <c r="ED60" s="264"/>
      <c r="EE60" s="264">
        <v>1</v>
      </c>
      <c r="EF60" s="264"/>
      <c r="EG60" s="264"/>
      <c r="EH60" s="264"/>
      <c r="EI60" s="264">
        <v>1</v>
      </c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>
        <v>149</v>
      </c>
      <c r="D61" s="264" t="s">
        <v>1023</v>
      </c>
      <c r="E61" s="264">
        <v>85</v>
      </c>
      <c r="F61" s="264" t="s">
        <v>1043</v>
      </c>
      <c r="G61" s="264">
        <v>149</v>
      </c>
      <c r="H61" s="264" t="s">
        <v>1023</v>
      </c>
      <c r="I61" s="264">
        <v>85</v>
      </c>
      <c r="J61" s="264" t="s">
        <v>1043</v>
      </c>
      <c r="K61" s="264">
        <v>83</v>
      </c>
      <c r="L61" s="264" t="s">
        <v>1292</v>
      </c>
      <c r="M61" s="264"/>
      <c r="N61" s="264" t="s">
        <v>891</v>
      </c>
      <c r="O61" s="264">
        <v>27</v>
      </c>
      <c r="P61" s="264" t="s">
        <v>985</v>
      </c>
      <c r="Q61" s="264">
        <v>8</v>
      </c>
      <c r="R61" s="264" t="s">
        <v>1093</v>
      </c>
      <c r="S61" s="264">
        <v>27</v>
      </c>
      <c r="T61" s="264" t="s">
        <v>1466</v>
      </c>
      <c r="U61" s="66">
        <v>43730</v>
      </c>
      <c r="V61" s="264"/>
      <c r="W61" s="264"/>
      <c r="X61" s="264">
        <v>34</v>
      </c>
      <c r="Y61" s="264" t="s">
        <v>1158</v>
      </c>
      <c r="Z61" s="264">
        <v>41</v>
      </c>
      <c r="AA61" s="66">
        <v>43470</v>
      </c>
      <c r="AB61" s="264">
        <v>6</v>
      </c>
      <c r="AC61" s="264" t="s">
        <v>1429</v>
      </c>
      <c r="AD61" s="264">
        <v>115</v>
      </c>
      <c r="AE61" s="66">
        <v>43626</v>
      </c>
      <c r="AF61" s="264">
        <v>44</v>
      </c>
      <c r="AG61" s="264" t="s">
        <v>911</v>
      </c>
      <c r="AH61" s="264">
        <v>77</v>
      </c>
      <c r="AI61" s="264" t="s">
        <v>717</v>
      </c>
      <c r="AJ61" s="264">
        <v>11</v>
      </c>
      <c r="AK61" s="264" t="s">
        <v>1210</v>
      </c>
      <c r="AL61" s="264"/>
      <c r="AM61" s="264"/>
      <c r="AN61" s="264">
        <v>58</v>
      </c>
      <c r="AO61" s="264" t="s">
        <v>816</v>
      </c>
      <c r="AP61" s="264" t="s">
        <v>899</v>
      </c>
      <c r="AQ61" s="264">
        <v>5</v>
      </c>
      <c r="AR61" s="264" t="s">
        <v>692</v>
      </c>
      <c r="AS61" s="264">
        <v>32</v>
      </c>
      <c r="AT61" s="264" t="s">
        <v>875</v>
      </c>
      <c r="AU61" s="66">
        <v>43606</v>
      </c>
      <c r="AV61" s="264">
        <v>16</v>
      </c>
      <c r="AW61" s="264" t="s">
        <v>767</v>
      </c>
      <c r="AX61" s="264">
        <v>3</v>
      </c>
      <c r="AY61" s="264" t="s">
        <v>657</v>
      </c>
      <c r="AZ61" s="66">
        <v>43588</v>
      </c>
      <c r="BA61" s="264">
        <v>49</v>
      </c>
      <c r="BB61" s="66">
        <v>43528</v>
      </c>
      <c r="BC61" s="264" t="s">
        <v>1295</v>
      </c>
      <c r="BD61" s="264">
        <v>26</v>
      </c>
      <c r="BE61" s="264" t="s">
        <v>1389</v>
      </c>
      <c r="BF61" s="66">
        <v>43646</v>
      </c>
      <c r="BG61" s="264">
        <v>52</v>
      </c>
      <c r="BH61" s="66">
        <v>43532</v>
      </c>
      <c r="BI61" s="264" t="s">
        <v>974</v>
      </c>
      <c r="BJ61" s="264">
        <v>11</v>
      </c>
      <c r="BK61" s="264" t="s">
        <v>853</v>
      </c>
      <c r="BL61" s="66">
        <v>43720</v>
      </c>
      <c r="BM61" s="264">
        <v>11</v>
      </c>
      <c r="BN61" s="264" t="s">
        <v>651</v>
      </c>
      <c r="BO61" s="264"/>
      <c r="BP61" s="264"/>
      <c r="BQ61" s="264">
        <v>1</v>
      </c>
      <c r="BR61" s="264"/>
      <c r="BS61" s="264" t="s">
        <v>651</v>
      </c>
      <c r="BT61" s="264"/>
      <c r="BU61" s="264"/>
      <c r="BV61" s="264"/>
      <c r="BW61" s="264"/>
      <c r="BX61" s="264">
        <v>4</v>
      </c>
      <c r="BY61" s="264"/>
      <c r="BZ61" s="264"/>
      <c r="CA61" s="264"/>
      <c r="CB61" s="264"/>
      <c r="CC61" s="264"/>
      <c r="CD61" s="264"/>
      <c r="CE61" s="264"/>
      <c r="CF61" s="264">
        <v>1</v>
      </c>
      <c r="CG61" s="264"/>
      <c r="CH61" s="264"/>
      <c r="CI61" s="264"/>
      <c r="CJ61" s="264">
        <v>3</v>
      </c>
      <c r="CK61" s="264">
        <v>2</v>
      </c>
      <c r="CL61" s="264">
        <v>1</v>
      </c>
      <c r="CM61" s="264" t="s">
        <v>667</v>
      </c>
      <c r="CN61" s="264"/>
      <c r="CO61" s="264"/>
      <c r="CP61" s="264"/>
      <c r="CQ61" s="264">
        <v>1</v>
      </c>
      <c r="CR61" s="264"/>
      <c r="CS61" s="264"/>
      <c r="CT61" s="264"/>
      <c r="CU61" s="264">
        <v>91</v>
      </c>
      <c r="CV61" s="264">
        <v>41</v>
      </c>
      <c r="CW61" s="264">
        <v>57</v>
      </c>
      <c r="CX61" s="264" t="s">
        <v>1329</v>
      </c>
      <c r="CY61" s="264">
        <v>3</v>
      </c>
      <c r="CZ61" s="264">
        <v>1</v>
      </c>
      <c r="DA61" s="264">
        <v>1</v>
      </c>
      <c r="DB61" s="264" t="s">
        <v>657</v>
      </c>
      <c r="DC61" s="264"/>
      <c r="DD61" s="264">
        <v>1</v>
      </c>
      <c r="DE61" s="264"/>
      <c r="DF61" s="264">
        <v>9</v>
      </c>
      <c r="DG61" s="264">
        <v>3</v>
      </c>
      <c r="DH61" s="264">
        <v>9</v>
      </c>
      <c r="DI61" s="264" t="s">
        <v>688</v>
      </c>
      <c r="DJ61" s="264"/>
      <c r="DK61" s="264"/>
      <c r="DL61" s="264"/>
      <c r="DM61" s="264"/>
      <c r="DN61" s="264"/>
      <c r="DO61" s="264">
        <v>1</v>
      </c>
      <c r="DP61" s="264"/>
      <c r="DQ61" s="264" t="s">
        <v>651</v>
      </c>
      <c r="DR61" s="264">
        <v>3</v>
      </c>
      <c r="DS61" s="264" t="s">
        <v>657</v>
      </c>
      <c r="DT61" s="264">
        <v>3</v>
      </c>
      <c r="DU61" s="264" t="s">
        <v>657</v>
      </c>
      <c r="DV61" s="264">
        <v>1</v>
      </c>
      <c r="DW61" s="264" t="s">
        <v>678</v>
      </c>
      <c r="DX61" s="264">
        <v>1</v>
      </c>
      <c r="DY61" s="264" t="s">
        <v>651</v>
      </c>
      <c r="DZ61" s="264">
        <v>1</v>
      </c>
      <c r="EA61" s="264" t="s">
        <v>651</v>
      </c>
      <c r="EB61" s="264"/>
      <c r="EC61" s="264"/>
      <c r="ED61" s="264" t="s">
        <v>651</v>
      </c>
      <c r="EE61" s="264">
        <v>2</v>
      </c>
      <c r="EF61" s="264"/>
      <c r="EG61" s="264"/>
      <c r="EH61" s="264"/>
      <c r="EI61" s="264">
        <v>1</v>
      </c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 t="s">
        <v>649</v>
      </c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 t="s">
        <v>652</v>
      </c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 t="s">
        <v>37</v>
      </c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 t="s">
        <v>653</v>
      </c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 t="s">
        <v>654</v>
      </c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 t="s">
        <v>649</v>
      </c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 t="s">
        <v>655</v>
      </c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 t="s">
        <v>37</v>
      </c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>
        <v>182</v>
      </c>
      <c r="D63" s="264"/>
      <c r="E63" s="264">
        <v>84</v>
      </c>
      <c r="F63" s="264"/>
      <c r="G63" s="264">
        <v>182</v>
      </c>
      <c r="H63" s="264"/>
      <c r="I63" s="264">
        <v>84</v>
      </c>
      <c r="J63" s="264"/>
      <c r="K63" s="264">
        <v>166</v>
      </c>
      <c r="L63" s="264"/>
      <c r="M63" s="264">
        <v>6</v>
      </c>
      <c r="N63" s="264" t="s">
        <v>839</v>
      </c>
      <c r="O63" s="264">
        <v>25</v>
      </c>
      <c r="P63" s="264"/>
      <c r="Q63" s="264">
        <v>31</v>
      </c>
      <c r="R63" s="264"/>
      <c r="S63" s="264">
        <v>19</v>
      </c>
      <c r="T63" s="264"/>
      <c r="U63" s="264" t="s">
        <v>930</v>
      </c>
      <c r="V63" s="264">
        <v>3</v>
      </c>
      <c r="W63" s="264" t="s">
        <v>843</v>
      </c>
      <c r="X63" s="264">
        <v>57</v>
      </c>
      <c r="Y63" s="264"/>
      <c r="Z63" s="264">
        <v>36</v>
      </c>
      <c r="AA63" s="264"/>
      <c r="AB63" s="264">
        <v>39</v>
      </c>
      <c r="AC63" s="264" t="s">
        <v>946</v>
      </c>
      <c r="AD63" s="264">
        <v>125</v>
      </c>
      <c r="AE63" s="264"/>
      <c r="AF63" s="264">
        <v>48</v>
      </c>
      <c r="AG63" s="264"/>
      <c r="AH63" s="264">
        <v>127</v>
      </c>
      <c r="AI63" s="66">
        <v>43582</v>
      </c>
      <c r="AJ63" s="264">
        <v>14</v>
      </c>
      <c r="AK63" s="264"/>
      <c r="AL63" s="264"/>
      <c r="AM63" s="264"/>
      <c r="AN63" s="264">
        <v>79</v>
      </c>
      <c r="AO63" s="264"/>
      <c r="AP63" s="264" t="s">
        <v>954</v>
      </c>
      <c r="AQ63" s="264">
        <v>11</v>
      </c>
      <c r="AR63" s="264"/>
      <c r="AS63" s="264">
        <v>56</v>
      </c>
      <c r="AT63" s="264"/>
      <c r="AU63" s="66">
        <v>43707</v>
      </c>
      <c r="AV63" s="264">
        <v>12</v>
      </c>
      <c r="AW63" s="264"/>
      <c r="AX63" s="264">
        <v>9</v>
      </c>
      <c r="AY63" s="264"/>
      <c r="AZ63" s="66">
        <v>43656</v>
      </c>
      <c r="BA63" s="264">
        <v>45</v>
      </c>
      <c r="BB63" s="264"/>
      <c r="BC63" s="264" t="s">
        <v>1028</v>
      </c>
      <c r="BD63" s="264">
        <v>25</v>
      </c>
      <c r="BE63" s="264"/>
      <c r="BF63" s="66">
        <v>43706</v>
      </c>
      <c r="BG63" s="264">
        <v>47</v>
      </c>
      <c r="BH63" s="264"/>
      <c r="BI63" s="264" t="s">
        <v>836</v>
      </c>
      <c r="BJ63" s="264">
        <v>14</v>
      </c>
      <c r="BK63" s="264"/>
      <c r="BL63" s="66">
        <v>43662</v>
      </c>
      <c r="BM63" s="264">
        <v>6</v>
      </c>
      <c r="BN63" s="264" t="s">
        <v>772</v>
      </c>
      <c r="BO63" s="264">
        <v>7</v>
      </c>
      <c r="BP63" s="264"/>
      <c r="BQ63" s="264">
        <v>1</v>
      </c>
      <c r="BR63" s="264"/>
      <c r="BS63" s="264" t="s">
        <v>651</v>
      </c>
      <c r="BT63" s="264"/>
      <c r="BU63" s="264"/>
      <c r="BV63" s="264"/>
      <c r="BW63" s="264"/>
      <c r="BX63" s="264">
        <v>3</v>
      </c>
      <c r="BY63" s="264">
        <v>3</v>
      </c>
      <c r="BZ63" s="264"/>
      <c r="CA63" s="264" t="s">
        <v>651</v>
      </c>
      <c r="CB63" s="264"/>
      <c r="CC63" s="264"/>
      <c r="CD63" s="264"/>
      <c r="CE63" s="264"/>
      <c r="CF63" s="264">
        <v>2</v>
      </c>
      <c r="CG63" s="264">
        <v>1</v>
      </c>
      <c r="CH63" s="264">
        <v>2</v>
      </c>
      <c r="CI63" s="264" t="s">
        <v>714</v>
      </c>
      <c r="CJ63" s="264">
        <v>7</v>
      </c>
      <c r="CK63" s="264">
        <v>1</v>
      </c>
      <c r="CL63" s="264">
        <v>8</v>
      </c>
      <c r="CM63" s="66">
        <v>43476</v>
      </c>
      <c r="CN63" s="264">
        <v>1</v>
      </c>
      <c r="CO63" s="264"/>
      <c r="CP63" s="264"/>
      <c r="CQ63" s="264"/>
      <c r="CR63" s="264"/>
      <c r="CS63" s="264">
        <v>2</v>
      </c>
      <c r="CT63" s="264"/>
      <c r="CU63" s="264">
        <v>96</v>
      </c>
      <c r="CV63" s="264">
        <v>17</v>
      </c>
      <c r="CW63" s="264">
        <v>97</v>
      </c>
      <c r="CX63" s="66">
        <v>43722</v>
      </c>
      <c r="CY63" s="264"/>
      <c r="CZ63" s="264">
        <v>3</v>
      </c>
      <c r="DA63" s="264">
        <v>3</v>
      </c>
      <c r="DB63" s="264" t="s">
        <v>657</v>
      </c>
      <c r="DC63" s="264"/>
      <c r="DD63" s="264"/>
      <c r="DE63" s="264"/>
      <c r="DF63" s="264">
        <v>18</v>
      </c>
      <c r="DG63" s="264">
        <v>2</v>
      </c>
      <c r="DH63" s="264">
        <v>29</v>
      </c>
      <c r="DI63" s="66">
        <v>43591</v>
      </c>
      <c r="DJ63" s="264"/>
      <c r="DK63" s="264">
        <v>1</v>
      </c>
      <c r="DL63" s="264"/>
      <c r="DM63" s="264" t="s">
        <v>651</v>
      </c>
      <c r="DN63" s="264">
        <v>1</v>
      </c>
      <c r="DO63" s="264">
        <v>1</v>
      </c>
      <c r="DP63" s="264">
        <v>1</v>
      </c>
      <c r="DQ63" s="264" t="s">
        <v>657</v>
      </c>
      <c r="DR63" s="264">
        <v>1</v>
      </c>
      <c r="DS63" s="264"/>
      <c r="DT63" s="264">
        <v>1</v>
      </c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>
        <v>1</v>
      </c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>
        <v>188</v>
      </c>
      <c r="D64" s="66">
        <v>43527</v>
      </c>
      <c r="E64" s="264">
        <v>66</v>
      </c>
      <c r="F64" s="264" t="s">
        <v>912</v>
      </c>
      <c r="G64" s="264">
        <v>188</v>
      </c>
      <c r="H64" s="66">
        <v>43527</v>
      </c>
      <c r="I64" s="264">
        <v>66</v>
      </c>
      <c r="J64" s="264" t="s">
        <v>912</v>
      </c>
      <c r="K64" s="264">
        <v>130</v>
      </c>
      <c r="L64" s="264" t="s">
        <v>1034</v>
      </c>
      <c r="M64" s="264">
        <v>10</v>
      </c>
      <c r="N64" s="264" t="s">
        <v>903</v>
      </c>
      <c r="O64" s="264">
        <v>52</v>
      </c>
      <c r="P64" s="264" t="s">
        <v>1467</v>
      </c>
      <c r="Q64" s="264">
        <v>12</v>
      </c>
      <c r="R64" s="264" t="s">
        <v>1468</v>
      </c>
      <c r="S64" s="264">
        <v>25</v>
      </c>
      <c r="T64" s="264" t="s">
        <v>1025</v>
      </c>
      <c r="U64" s="264" t="s">
        <v>1349</v>
      </c>
      <c r="V64" s="264">
        <v>6</v>
      </c>
      <c r="W64" s="66">
        <v>43466</v>
      </c>
      <c r="X64" s="264">
        <v>60</v>
      </c>
      <c r="Y64" s="66">
        <v>43529</v>
      </c>
      <c r="Z64" s="264">
        <v>41</v>
      </c>
      <c r="AA64" s="66">
        <v>43721</v>
      </c>
      <c r="AB64" s="264">
        <v>29</v>
      </c>
      <c r="AC64" s="264" t="s">
        <v>1120</v>
      </c>
      <c r="AD64" s="264">
        <v>128</v>
      </c>
      <c r="AE64" s="66">
        <v>43557</v>
      </c>
      <c r="AF64" s="264">
        <v>25</v>
      </c>
      <c r="AG64" s="264" t="s">
        <v>1451</v>
      </c>
      <c r="AH64" s="264">
        <v>101</v>
      </c>
      <c r="AI64" s="66">
        <v>43696</v>
      </c>
      <c r="AJ64" s="264">
        <v>12</v>
      </c>
      <c r="AK64" s="264" t="s">
        <v>673</v>
      </c>
      <c r="AL64" s="264"/>
      <c r="AM64" s="264"/>
      <c r="AN64" s="264">
        <v>76</v>
      </c>
      <c r="AO64" s="264" t="s">
        <v>884</v>
      </c>
      <c r="AP64" s="264" t="s">
        <v>1410</v>
      </c>
      <c r="AQ64" s="264">
        <v>7</v>
      </c>
      <c r="AR64" s="264" t="s">
        <v>724</v>
      </c>
      <c r="AS64" s="264">
        <v>40</v>
      </c>
      <c r="AT64" s="264" t="s">
        <v>737</v>
      </c>
      <c r="AU64" s="66">
        <v>43545</v>
      </c>
      <c r="AV64" s="264">
        <v>12</v>
      </c>
      <c r="AW64" s="264"/>
      <c r="AX64" s="264">
        <v>5</v>
      </c>
      <c r="AY64" s="264" t="s">
        <v>754</v>
      </c>
      <c r="AZ64" s="66">
        <v>43623</v>
      </c>
      <c r="BA64" s="264">
        <v>43</v>
      </c>
      <c r="BB64" s="264" t="s">
        <v>1400</v>
      </c>
      <c r="BC64" s="264" t="s">
        <v>695</v>
      </c>
      <c r="BD64" s="264">
        <v>26</v>
      </c>
      <c r="BE64" s="264" t="s">
        <v>840</v>
      </c>
      <c r="BF64" s="264" t="s">
        <v>1314</v>
      </c>
      <c r="BG64" s="264">
        <v>39</v>
      </c>
      <c r="BH64" s="264" t="s">
        <v>1021</v>
      </c>
      <c r="BI64" s="264" t="s">
        <v>1041</v>
      </c>
      <c r="BJ64" s="264">
        <v>1</v>
      </c>
      <c r="BK64" s="264" t="s">
        <v>1366</v>
      </c>
      <c r="BL64" s="66">
        <v>43586</v>
      </c>
      <c r="BM64" s="264">
        <v>1</v>
      </c>
      <c r="BN64" s="264" t="s">
        <v>651</v>
      </c>
      <c r="BO64" s="264"/>
      <c r="BP64" s="264">
        <v>1</v>
      </c>
      <c r="BQ64" s="264"/>
      <c r="BR64" s="264"/>
      <c r="BS64" s="264"/>
      <c r="BT64" s="264">
        <v>1</v>
      </c>
      <c r="BU64" s="264"/>
      <c r="BV64" s="264"/>
      <c r="BW64" s="264"/>
      <c r="BX64" s="264">
        <v>7</v>
      </c>
      <c r="BY64" s="264">
        <v>4</v>
      </c>
      <c r="BZ64" s="264">
        <v>1</v>
      </c>
      <c r="CA64" s="264" t="s">
        <v>693</v>
      </c>
      <c r="CB64" s="264">
        <v>1</v>
      </c>
      <c r="CC64" s="264">
        <v>1</v>
      </c>
      <c r="CD64" s="264"/>
      <c r="CE64" s="264" t="s">
        <v>651</v>
      </c>
      <c r="CF64" s="264"/>
      <c r="CG64" s="264">
        <v>2</v>
      </c>
      <c r="CH64" s="264"/>
      <c r="CI64" s="264" t="s">
        <v>651</v>
      </c>
      <c r="CJ64" s="264">
        <v>6</v>
      </c>
      <c r="CK64" s="264">
        <v>5</v>
      </c>
      <c r="CL64" s="264">
        <v>2</v>
      </c>
      <c r="CM64" s="264" t="s">
        <v>837</v>
      </c>
      <c r="CN64" s="264"/>
      <c r="CO64" s="264" t="s">
        <v>650</v>
      </c>
      <c r="CP64" s="264"/>
      <c r="CQ64" s="264"/>
      <c r="CR64" s="264"/>
      <c r="CS64" s="264">
        <v>1</v>
      </c>
      <c r="CT64" s="264"/>
      <c r="CU64" s="264">
        <v>90</v>
      </c>
      <c r="CV64" s="264">
        <v>13</v>
      </c>
      <c r="CW64" s="264">
        <v>84</v>
      </c>
      <c r="CX64" s="66">
        <v>43568</v>
      </c>
      <c r="CY64" s="264">
        <v>3</v>
      </c>
      <c r="CZ64" s="264"/>
      <c r="DA64" s="264">
        <v>1</v>
      </c>
      <c r="DB64" s="264"/>
      <c r="DC64" s="264"/>
      <c r="DD64" s="264"/>
      <c r="DE64" s="264"/>
      <c r="DF64" s="264">
        <v>32</v>
      </c>
      <c r="DG64" s="264">
        <v>3</v>
      </c>
      <c r="DH64" s="264">
        <v>13</v>
      </c>
      <c r="DI64" s="66">
        <v>43695</v>
      </c>
      <c r="DJ64" s="264"/>
      <c r="DK64" s="264">
        <v>1</v>
      </c>
      <c r="DL64" s="264"/>
      <c r="DM64" s="264" t="s">
        <v>651</v>
      </c>
      <c r="DN64" s="264">
        <v>3</v>
      </c>
      <c r="DO64" s="264">
        <v>1</v>
      </c>
      <c r="DP64" s="264"/>
      <c r="DQ64" s="264" t="s">
        <v>651</v>
      </c>
      <c r="DR64" s="264">
        <v>22</v>
      </c>
      <c r="DS64" s="264" t="s">
        <v>1402</v>
      </c>
      <c r="DT64" s="264">
        <v>22</v>
      </c>
      <c r="DU64" s="264" t="s">
        <v>1402</v>
      </c>
      <c r="DV64" s="264">
        <v>22</v>
      </c>
      <c r="DW64" s="264" t="s">
        <v>651</v>
      </c>
      <c r="DX64" s="264"/>
      <c r="DY64" s="264"/>
      <c r="DZ64" s="264"/>
      <c r="EA64" s="264"/>
      <c r="EB64" s="264"/>
      <c r="EC64" s="264"/>
      <c r="ED64" s="264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>
        <v>1</v>
      </c>
      <c r="EO64" s="264">
        <v>1</v>
      </c>
      <c r="EP64" s="264">
        <v>1</v>
      </c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 t="s">
        <v>649</v>
      </c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 t="s">
        <v>652</v>
      </c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 t="s">
        <v>37</v>
      </c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 t="s">
        <v>653</v>
      </c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 t="s">
        <v>654</v>
      </c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 t="s">
        <v>649</v>
      </c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 t="s">
        <v>655</v>
      </c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 t="s">
        <v>37</v>
      </c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>
        <v>154</v>
      </c>
      <c r="D66" s="264"/>
      <c r="E66" s="264">
        <v>43</v>
      </c>
      <c r="F66" s="264"/>
      <c r="G66" s="264">
        <v>154</v>
      </c>
      <c r="H66" s="264"/>
      <c r="I66" s="264">
        <v>43</v>
      </c>
      <c r="J66" s="264"/>
      <c r="K66" s="264">
        <v>104</v>
      </c>
      <c r="L66" s="264"/>
      <c r="M66" s="264"/>
      <c r="N66" s="66">
        <v>43553</v>
      </c>
      <c r="O66" s="264">
        <v>54</v>
      </c>
      <c r="P66" s="264"/>
      <c r="Q66" s="264">
        <v>15</v>
      </c>
      <c r="R66" s="264"/>
      <c r="S66" s="264">
        <v>27</v>
      </c>
      <c r="T66" s="264"/>
      <c r="U66" s="264" t="s">
        <v>956</v>
      </c>
      <c r="V66" s="264">
        <v>12</v>
      </c>
      <c r="W66" s="66">
        <v>43527</v>
      </c>
      <c r="X66" s="264">
        <v>51</v>
      </c>
      <c r="Y66" s="264"/>
      <c r="Z66" s="264">
        <v>16</v>
      </c>
      <c r="AA66" s="264"/>
      <c r="AB66" s="264">
        <v>17</v>
      </c>
      <c r="AC66" s="264" t="s">
        <v>1135</v>
      </c>
      <c r="AD66" s="264">
        <v>103</v>
      </c>
      <c r="AE66" s="264"/>
      <c r="AF66" s="264">
        <v>27</v>
      </c>
      <c r="AG66" s="264"/>
      <c r="AH66" s="264">
        <v>87</v>
      </c>
      <c r="AI66" s="66">
        <v>43669</v>
      </c>
      <c r="AJ66" s="264">
        <v>14</v>
      </c>
      <c r="AK66" s="264"/>
      <c r="AL66" s="264"/>
      <c r="AM66" s="264"/>
      <c r="AN66" s="264">
        <v>65</v>
      </c>
      <c r="AO66" s="264"/>
      <c r="AP66" s="264" t="s">
        <v>1109</v>
      </c>
      <c r="AQ66" s="264">
        <v>13</v>
      </c>
      <c r="AR66" s="264"/>
      <c r="AS66" s="264">
        <v>50</v>
      </c>
      <c r="AT66" s="264"/>
      <c r="AU66" s="264" t="s">
        <v>939</v>
      </c>
      <c r="AV66" s="264">
        <v>41</v>
      </c>
      <c r="AW66" s="264"/>
      <c r="AX66" s="264">
        <v>2</v>
      </c>
      <c r="AY66" s="264"/>
      <c r="AZ66" s="66">
        <v>43650</v>
      </c>
      <c r="BA66" s="264">
        <v>22</v>
      </c>
      <c r="BB66" s="264"/>
      <c r="BC66" s="264" t="s">
        <v>762</v>
      </c>
      <c r="BD66" s="264">
        <v>15</v>
      </c>
      <c r="BE66" s="264"/>
      <c r="BF66" s="264" t="s">
        <v>908</v>
      </c>
      <c r="BG66" s="264">
        <v>24</v>
      </c>
      <c r="BH66" s="264"/>
      <c r="BI66" s="264" t="s">
        <v>809</v>
      </c>
      <c r="BJ66" s="264">
        <v>11</v>
      </c>
      <c r="BK66" s="264"/>
      <c r="BL66" s="66">
        <v>43641</v>
      </c>
      <c r="BM66" s="264">
        <v>2</v>
      </c>
      <c r="BN66" s="66">
        <v>43514</v>
      </c>
      <c r="BO66" s="264">
        <v>9</v>
      </c>
      <c r="BP66" s="264">
        <v>1</v>
      </c>
      <c r="BQ66" s="264">
        <v>1</v>
      </c>
      <c r="BR66" s="264"/>
      <c r="BS66" s="264" t="s">
        <v>651</v>
      </c>
      <c r="BT66" s="264"/>
      <c r="BU66" s="264"/>
      <c r="BV66" s="264"/>
      <c r="BW66" s="264"/>
      <c r="BX66" s="264">
        <v>4</v>
      </c>
      <c r="BY66" s="264">
        <v>1</v>
      </c>
      <c r="BZ66" s="264">
        <v>2</v>
      </c>
      <c r="CA66" s="264" t="s">
        <v>714</v>
      </c>
      <c r="CB66" s="264"/>
      <c r="CC66" s="264"/>
      <c r="CD66" s="264"/>
      <c r="CE66" s="264"/>
      <c r="CF66" s="264">
        <v>3</v>
      </c>
      <c r="CG66" s="264"/>
      <c r="CH66" s="264"/>
      <c r="CI66" s="264"/>
      <c r="CJ66" s="264">
        <v>7</v>
      </c>
      <c r="CK66" s="264">
        <v>2</v>
      </c>
      <c r="CL66" s="264">
        <v>1</v>
      </c>
      <c r="CM66" s="264" t="s">
        <v>667</v>
      </c>
      <c r="CN66" s="264"/>
      <c r="CO66" s="264"/>
      <c r="CP66" s="264"/>
      <c r="CQ66" s="264"/>
      <c r="CR66" s="264"/>
      <c r="CS66" s="264"/>
      <c r="CT66" s="264"/>
      <c r="CU66" s="264">
        <v>55</v>
      </c>
      <c r="CV66" s="264">
        <v>15</v>
      </c>
      <c r="CW66" s="264">
        <v>71</v>
      </c>
      <c r="CX66" s="66">
        <v>43572</v>
      </c>
      <c r="CY66" s="264">
        <v>2</v>
      </c>
      <c r="CZ66" s="264">
        <v>1</v>
      </c>
      <c r="DA66" s="264">
        <v>2</v>
      </c>
      <c r="DB66" s="264" t="s">
        <v>714</v>
      </c>
      <c r="DC66" s="264"/>
      <c r="DD66" s="264"/>
      <c r="DE66" s="264"/>
      <c r="DF66" s="264">
        <v>13</v>
      </c>
      <c r="DG66" s="264"/>
      <c r="DH66" s="264">
        <v>16</v>
      </c>
      <c r="DI66" s="264"/>
      <c r="DJ66" s="264">
        <v>2</v>
      </c>
      <c r="DK66" s="264"/>
      <c r="DL66" s="264"/>
      <c r="DM66" s="264"/>
      <c r="DN66" s="264">
        <v>1</v>
      </c>
      <c r="DO66" s="264">
        <v>1</v>
      </c>
      <c r="DP66" s="264"/>
      <c r="DQ66" s="264" t="s">
        <v>651</v>
      </c>
      <c r="DR66" s="264">
        <v>1</v>
      </c>
      <c r="DS66" s="264"/>
      <c r="DT66" s="264">
        <v>1</v>
      </c>
      <c r="DU66" s="264"/>
      <c r="DV66" s="264">
        <v>1</v>
      </c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>
        <v>141</v>
      </c>
      <c r="D67" s="264" t="s">
        <v>915</v>
      </c>
      <c r="E67" s="264">
        <v>35</v>
      </c>
      <c r="F67" s="264" t="s">
        <v>802</v>
      </c>
      <c r="G67" s="264">
        <v>141</v>
      </c>
      <c r="H67" s="264" t="s">
        <v>915</v>
      </c>
      <c r="I67" s="264">
        <v>35</v>
      </c>
      <c r="J67" s="264" t="s">
        <v>802</v>
      </c>
      <c r="K67" s="264">
        <v>86</v>
      </c>
      <c r="L67" s="264" t="s">
        <v>1039</v>
      </c>
      <c r="M67" s="264">
        <v>6</v>
      </c>
      <c r="N67" s="66">
        <v>43736</v>
      </c>
      <c r="O67" s="264">
        <v>24</v>
      </c>
      <c r="P67" s="264" t="s">
        <v>736</v>
      </c>
      <c r="Q67" s="264">
        <v>8</v>
      </c>
      <c r="R67" s="264" t="s">
        <v>962</v>
      </c>
      <c r="S67" s="264">
        <v>22</v>
      </c>
      <c r="T67" s="264" t="s">
        <v>1380</v>
      </c>
      <c r="U67" s="66">
        <v>43672</v>
      </c>
      <c r="V67" s="264">
        <v>18</v>
      </c>
      <c r="W67" s="66">
        <v>43469</v>
      </c>
      <c r="X67" s="264">
        <v>53</v>
      </c>
      <c r="Y67" s="66">
        <v>43711</v>
      </c>
      <c r="Z67" s="264">
        <v>25</v>
      </c>
      <c r="AA67" s="264" t="s">
        <v>1305</v>
      </c>
      <c r="AB67" s="264">
        <v>19</v>
      </c>
      <c r="AC67" s="264" t="s">
        <v>795</v>
      </c>
      <c r="AD67" s="264">
        <v>88</v>
      </c>
      <c r="AE67" s="264" t="s">
        <v>1172</v>
      </c>
      <c r="AF67" s="264">
        <v>10</v>
      </c>
      <c r="AG67" s="264" t="s">
        <v>1211</v>
      </c>
      <c r="AH67" s="264">
        <v>67</v>
      </c>
      <c r="AI67" s="264" t="s">
        <v>1010</v>
      </c>
      <c r="AJ67" s="264">
        <v>13</v>
      </c>
      <c r="AK67" s="264" t="s">
        <v>764</v>
      </c>
      <c r="AL67" s="264"/>
      <c r="AM67" s="264"/>
      <c r="AN67" s="264">
        <v>69</v>
      </c>
      <c r="AO67" s="66">
        <v>43502</v>
      </c>
      <c r="AP67" s="264" t="s">
        <v>1332</v>
      </c>
      <c r="AQ67" s="264">
        <v>4</v>
      </c>
      <c r="AR67" s="264" t="s">
        <v>1066</v>
      </c>
      <c r="AS67" s="264">
        <v>38</v>
      </c>
      <c r="AT67" s="264" t="s">
        <v>1318</v>
      </c>
      <c r="AU67" s="264" t="s">
        <v>941</v>
      </c>
      <c r="AV67" s="264">
        <v>13</v>
      </c>
      <c r="AW67" s="264" t="s">
        <v>1463</v>
      </c>
      <c r="AX67" s="264">
        <v>2</v>
      </c>
      <c r="AY67" s="264"/>
      <c r="AZ67" s="66">
        <v>43651</v>
      </c>
      <c r="BA67" s="264">
        <v>17</v>
      </c>
      <c r="BB67" s="264" t="s">
        <v>1052</v>
      </c>
      <c r="BC67" s="264" t="s">
        <v>892</v>
      </c>
      <c r="BD67" s="264">
        <v>13</v>
      </c>
      <c r="BE67" s="264" t="s">
        <v>668</v>
      </c>
      <c r="BF67" s="264" t="s">
        <v>1432</v>
      </c>
      <c r="BG67" s="264">
        <v>22</v>
      </c>
      <c r="BH67" s="264" t="s">
        <v>876</v>
      </c>
      <c r="BI67" s="264" t="s">
        <v>940</v>
      </c>
      <c r="BJ67" s="264">
        <v>1</v>
      </c>
      <c r="BK67" s="264" t="s">
        <v>1223</v>
      </c>
      <c r="BL67" s="66">
        <v>43710</v>
      </c>
      <c r="BM67" s="264">
        <v>1</v>
      </c>
      <c r="BN67" s="264" t="s">
        <v>651</v>
      </c>
      <c r="BO67" s="264"/>
      <c r="BP67" s="264">
        <v>1</v>
      </c>
      <c r="BQ67" s="264">
        <v>1</v>
      </c>
      <c r="BR67" s="264"/>
      <c r="BS67" s="264" t="s">
        <v>651</v>
      </c>
      <c r="BT67" s="264"/>
      <c r="BU67" s="264"/>
      <c r="BV67" s="264"/>
      <c r="BW67" s="264"/>
      <c r="BX67" s="264">
        <v>2</v>
      </c>
      <c r="BY67" s="264">
        <v>1</v>
      </c>
      <c r="BZ67" s="264">
        <v>2</v>
      </c>
      <c r="CA67" s="264" t="s">
        <v>714</v>
      </c>
      <c r="CB67" s="264"/>
      <c r="CC67" s="264"/>
      <c r="CD67" s="264">
        <v>1</v>
      </c>
      <c r="CE67" s="264"/>
      <c r="CF67" s="264">
        <v>2</v>
      </c>
      <c r="CG67" s="264">
        <v>1</v>
      </c>
      <c r="CH67" s="264"/>
      <c r="CI67" s="264" t="s">
        <v>651</v>
      </c>
      <c r="CJ67" s="264">
        <v>4</v>
      </c>
      <c r="CK67" s="264">
        <v>4</v>
      </c>
      <c r="CL67" s="264">
        <v>3</v>
      </c>
      <c r="CM67" s="264" t="s">
        <v>744</v>
      </c>
      <c r="CN67" s="264"/>
      <c r="CO67" s="264"/>
      <c r="CP67" s="264"/>
      <c r="CQ67" s="264">
        <v>1</v>
      </c>
      <c r="CR67" s="264"/>
      <c r="CS67" s="264">
        <v>2</v>
      </c>
      <c r="CT67" s="264"/>
      <c r="CU67" s="264">
        <v>71</v>
      </c>
      <c r="CV67" s="264">
        <v>8</v>
      </c>
      <c r="CW67" s="264">
        <v>55</v>
      </c>
      <c r="CX67" s="66">
        <v>43658</v>
      </c>
      <c r="CY67" s="264"/>
      <c r="CZ67" s="264">
        <v>1</v>
      </c>
      <c r="DA67" s="264">
        <v>2</v>
      </c>
      <c r="DB67" s="264" t="s">
        <v>714</v>
      </c>
      <c r="DC67" s="264"/>
      <c r="DD67" s="264"/>
      <c r="DE67" s="264"/>
      <c r="DF67" s="264">
        <v>19</v>
      </c>
      <c r="DG67" s="264">
        <v>2</v>
      </c>
      <c r="DH67" s="264">
        <v>10</v>
      </c>
      <c r="DI67" s="66">
        <v>43662</v>
      </c>
      <c r="DJ67" s="264"/>
      <c r="DK67" s="264"/>
      <c r="DL67" s="264"/>
      <c r="DM67" s="264"/>
      <c r="DN67" s="264">
        <v>2</v>
      </c>
      <c r="DO67" s="264">
        <v>1</v>
      </c>
      <c r="DP67" s="264">
        <v>1</v>
      </c>
      <c r="DQ67" s="264" t="s">
        <v>657</v>
      </c>
      <c r="DR67" s="264">
        <v>1</v>
      </c>
      <c r="DS67" s="264"/>
      <c r="DT67" s="264">
        <v>1</v>
      </c>
      <c r="DU67" s="264"/>
      <c r="DV67" s="264"/>
      <c r="DW67" s="264" t="s">
        <v>650</v>
      </c>
      <c r="DX67" s="264">
        <v>1</v>
      </c>
      <c r="DY67" s="264" t="s">
        <v>651</v>
      </c>
      <c r="DZ67" s="264">
        <v>1</v>
      </c>
      <c r="EA67" s="264" t="s">
        <v>651</v>
      </c>
      <c r="EB67" s="264">
        <v>1</v>
      </c>
      <c r="EC67" s="264" t="s">
        <v>651</v>
      </c>
      <c r="ED67" s="264" t="s">
        <v>704</v>
      </c>
      <c r="EE67" s="264">
        <v>1</v>
      </c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 t="s">
        <v>649</v>
      </c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 t="s">
        <v>652</v>
      </c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 t="s">
        <v>37</v>
      </c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 t="s">
        <v>653</v>
      </c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 t="s">
        <v>654</v>
      </c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 t="s">
        <v>649</v>
      </c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 t="s">
        <v>655</v>
      </c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 t="s">
        <v>37</v>
      </c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>
        <v>203</v>
      </c>
      <c r="D69" s="264"/>
      <c r="E69" s="264">
        <v>80</v>
      </c>
      <c r="F69" s="264"/>
      <c r="G69" s="264">
        <v>203</v>
      </c>
      <c r="H69" s="264"/>
      <c r="I69" s="264">
        <v>80</v>
      </c>
      <c r="J69" s="264"/>
      <c r="K69" s="264">
        <v>149</v>
      </c>
      <c r="L69" s="264"/>
      <c r="M69" s="264"/>
      <c r="N69" s="264" t="s">
        <v>908</v>
      </c>
      <c r="O69" s="264">
        <v>47</v>
      </c>
      <c r="P69" s="264"/>
      <c r="Q69" s="264">
        <v>45</v>
      </c>
      <c r="R69" s="264"/>
      <c r="S69" s="264">
        <v>22</v>
      </c>
      <c r="T69" s="264"/>
      <c r="U69" s="264" t="s">
        <v>819</v>
      </c>
      <c r="V69" s="264">
        <v>19</v>
      </c>
      <c r="W69" s="66">
        <v>43527</v>
      </c>
      <c r="X69" s="264">
        <v>60</v>
      </c>
      <c r="Y69" s="264"/>
      <c r="Z69" s="264">
        <v>19</v>
      </c>
      <c r="AA69" s="264"/>
      <c r="AB69" s="264">
        <v>40</v>
      </c>
      <c r="AC69" s="264" t="s">
        <v>1177</v>
      </c>
      <c r="AD69" s="264">
        <v>143</v>
      </c>
      <c r="AE69" s="264"/>
      <c r="AF69" s="264">
        <v>61</v>
      </c>
      <c r="AG69" s="264"/>
      <c r="AH69" s="264">
        <v>109</v>
      </c>
      <c r="AI69" s="264" t="s">
        <v>1031</v>
      </c>
      <c r="AJ69" s="264">
        <v>9</v>
      </c>
      <c r="AK69" s="264"/>
      <c r="AL69" s="264"/>
      <c r="AM69" s="264"/>
      <c r="AN69" s="264">
        <v>104</v>
      </c>
      <c r="AO69" s="264"/>
      <c r="AP69" s="264" t="s">
        <v>762</v>
      </c>
      <c r="AQ69" s="264">
        <v>16</v>
      </c>
      <c r="AR69" s="264"/>
      <c r="AS69" s="264">
        <v>58</v>
      </c>
      <c r="AT69" s="264"/>
      <c r="AU69" s="66">
        <v>43644</v>
      </c>
      <c r="AV69" s="264">
        <v>18</v>
      </c>
      <c r="AW69" s="264"/>
      <c r="AX69" s="264"/>
      <c r="AY69" s="264"/>
      <c r="AZ69" s="264"/>
      <c r="BA69" s="264">
        <v>53</v>
      </c>
      <c r="BB69" s="264"/>
      <c r="BC69" s="264" t="s">
        <v>989</v>
      </c>
      <c r="BD69" s="264">
        <v>10</v>
      </c>
      <c r="BE69" s="264"/>
      <c r="BF69" s="66">
        <v>43597</v>
      </c>
      <c r="BG69" s="264">
        <v>25</v>
      </c>
      <c r="BH69" s="264"/>
      <c r="BI69" s="66">
        <v>43555</v>
      </c>
      <c r="BJ69" s="264">
        <v>41</v>
      </c>
      <c r="BK69" s="264"/>
      <c r="BL69" s="264" t="s">
        <v>909</v>
      </c>
      <c r="BM69" s="264"/>
      <c r="BN69" s="264"/>
      <c r="BO69" s="264">
        <v>41</v>
      </c>
      <c r="BP69" s="264">
        <v>2</v>
      </c>
      <c r="BQ69" s="264"/>
      <c r="BR69" s="264"/>
      <c r="BS69" s="264"/>
      <c r="BT69" s="264"/>
      <c r="BU69" s="264"/>
      <c r="BV69" s="264"/>
      <c r="BW69" s="264"/>
      <c r="BX69" s="264">
        <v>4</v>
      </c>
      <c r="BY69" s="264"/>
      <c r="BZ69" s="264"/>
      <c r="CA69" s="264"/>
      <c r="CB69" s="264">
        <v>1</v>
      </c>
      <c r="CC69" s="264"/>
      <c r="CD69" s="264"/>
      <c r="CE69" s="264"/>
      <c r="CF69" s="264"/>
      <c r="CG69" s="264"/>
      <c r="CH69" s="264">
        <v>1</v>
      </c>
      <c r="CI69" s="264"/>
      <c r="CJ69" s="264">
        <v>12</v>
      </c>
      <c r="CK69" s="264">
        <v>2</v>
      </c>
      <c r="CL69" s="264">
        <v>1</v>
      </c>
      <c r="CM69" s="264" t="s">
        <v>667</v>
      </c>
      <c r="CN69" s="264"/>
      <c r="CO69" s="264"/>
      <c r="CP69" s="264"/>
      <c r="CQ69" s="264">
        <v>2</v>
      </c>
      <c r="CR69" s="264"/>
      <c r="CS69" s="264"/>
      <c r="CT69" s="264"/>
      <c r="CU69" s="264">
        <v>99</v>
      </c>
      <c r="CV69" s="264">
        <v>5</v>
      </c>
      <c r="CW69" s="264">
        <v>90</v>
      </c>
      <c r="CX69" s="66">
        <v>43529</v>
      </c>
      <c r="CY69" s="264">
        <v>2</v>
      </c>
      <c r="CZ69" s="264"/>
      <c r="DA69" s="264">
        <v>4</v>
      </c>
      <c r="DB69" s="264"/>
      <c r="DC69" s="264"/>
      <c r="DD69" s="264"/>
      <c r="DE69" s="264"/>
      <c r="DF69" s="264">
        <v>18</v>
      </c>
      <c r="DG69" s="264"/>
      <c r="DH69" s="264">
        <v>39</v>
      </c>
      <c r="DI69" s="264"/>
      <c r="DJ69" s="264"/>
      <c r="DK69" s="264"/>
      <c r="DL69" s="264"/>
      <c r="DM69" s="264"/>
      <c r="DN69" s="264">
        <v>4</v>
      </c>
      <c r="DO69" s="264"/>
      <c r="DP69" s="264">
        <v>1</v>
      </c>
      <c r="DQ69" s="264"/>
      <c r="DR69" s="264">
        <v>12</v>
      </c>
      <c r="DS69" s="264"/>
      <c r="DT69" s="264">
        <v>12</v>
      </c>
      <c r="DU69" s="264"/>
      <c r="DV69" s="264">
        <v>4</v>
      </c>
      <c r="DW69" s="264"/>
      <c r="DX69" s="264">
        <v>11</v>
      </c>
      <c r="DY69" s="264"/>
      <c r="DZ69" s="264">
        <v>11</v>
      </c>
      <c r="EA69" s="264"/>
      <c r="EB69" s="264">
        <v>1</v>
      </c>
      <c r="EC69" s="264"/>
      <c r="ED69" s="264" t="s">
        <v>651</v>
      </c>
      <c r="EE69" s="264">
        <v>11</v>
      </c>
      <c r="EF69" s="264"/>
      <c r="EG69" s="264"/>
      <c r="EH69" s="264"/>
      <c r="EI69" s="264">
        <v>2</v>
      </c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>
        <v>206</v>
      </c>
      <c r="D70" s="66">
        <v>43586</v>
      </c>
      <c r="E70" s="264">
        <v>57</v>
      </c>
      <c r="F70" s="264" t="s">
        <v>877</v>
      </c>
      <c r="G70" s="264">
        <v>206</v>
      </c>
      <c r="H70" s="66">
        <v>43586</v>
      </c>
      <c r="I70" s="264">
        <v>57</v>
      </c>
      <c r="J70" s="264" t="s">
        <v>877</v>
      </c>
      <c r="K70" s="264">
        <v>120</v>
      </c>
      <c r="L70" s="264" t="s">
        <v>848</v>
      </c>
      <c r="M70" s="264">
        <v>3</v>
      </c>
      <c r="N70" s="264" t="s">
        <v>1177</v>
      </c>
      <c r="O70" s="264">
        <v>45</v>
      </c>
      <c r="P70" s="264" t="s">
        <v>1422</v>
      </c>
      <c r="Q70" s="264">
        <v>6</v>
      </c>
      <c r="R70" s="264" t="s">
        <v>1450</v>
      </c>
      <c r="S70" s="264">
        <v>36</v>
      </c>
      <c r="T70" s="264" t="s">
        <v>824</v>
      </c>
      <c r="U70" s="66">
        <v>43538</v>
      </c>
      <c r="V70" s="264">
        <v>9</v>
      </c>
      <c r="W70" s="66">
        <v>43556</v>
      </c>
      <c r="X70" s="264">
        <v>60</v>
      </c>
      <c r="Y70" s="264"/>
      <c r="Z70" s="264">
        <v>35</v>
      </c>
      <c r="AA70" s="264" t="s">
        <v>1085</v>
      </c>
      <c r="AB70" s="264">
        <v>27</v>
      </c>
      <c r="AC70" s="264" t="s">
        <v>656</v>
      </c>
      <c r="AD70" s="264">
        <v>146</v>
      </c>
      <c r="AE70" s="66">
        <v>43467</v>
      </c>
      <c r="AF70" s="264">
        <v>22</v>
      </c>
      <c r="AG70" s="264" t="s">
        <v>1383</v>
      </c>
      <c r="AH70" s="264">
        <v>93</v>
      </c>
      <c r="AI70" s="66">
        <v>43484</v>
      </c>
      <c r="AJ70" s="264">
        <v>14</v>
      </c>
      <c r="AK70" s="264" t="s">
        <v>727</v>
      </c>
      <c r="AL70" s="264"/>
      <c r="AM70" s="264"/>
      <c r="AN70" s="264">
        <v>96</v>
      </c>
      <c r="AO70" s="264" t="s">
        <v>689</v>
      </c>
      <c r="AP70" s="264" t="s">
        <v>1341</v>
      </c>
      <c r="AQ70" s="264">
        <v>13</v>
      </c>
      <c r="AR70" s="264" t="s">
        <v>922</v>
      </c>
      <c r="AS70" s="264">
        <v>47</v>
      </c>
      <c r="AT70" s="264" t="s">
        <v>1322</v>
      </c>
      <c r="AU70" s="66">
        <v>43699</v>
      </c>
      <c r="AV70" s="264">
        <v>28</v>
      </c>
      <c r="AW70" s="264" t="s">
        <v>727</v>
      </c>
      <c r="AX70" s="264">
        <v>1</v>
      </c>
      <c r="AY70" s="264" t="s">
        <v>651</v>
      </c>
      <c r="AZ70" s="66">
        <v>43678</v>
      </c>
      <c r="BA70" s="264">
        <v>36</v>
      </c>
      <c r="BB70" s="264" t="s">
        <v>1378</v>
      </c>
      <c r="BC70" s="264" t="s">
        <v>1091</v>
      </c>
      <c r="BD70" s="264">
        <v>15</v>
      </c>
      <c r="BE70" s="264" t="s">
        <v>657</v>
      </c>
      <c r="BF70" s="66">
        <v>43550</v>
      </c>
      <c r="BG70" s="264">
        <v>42</v>
      </c>
      <c r="BH70" s="264" t="s">
        <v>687</v>
      </c>
      <c r="BI70" s="264" t="s">
        <v>867</v>
      </c>
      <c r="BJ70" s="264">
        <v>6</v>
      </c>
      <c r="BK70" s="264" t="s">
        <v>1469</v>
      </c>
      <c r="BL70" s="66">
        <v>43595</v>
      </c>
      <c r="BM70" s="264">
        <v>3</v>
      </c>
      <c r="BN70" s="264" t="s">
        <v>657</v>
      </c>
      <c r="BO70" s="264">
        <v>3</v>
      </c>
      <c r="BP70" s="264">
        <v>1</v>
      </c>
      <c r="BQ70" s="264"/>
      <c r="BR70" s="264"/>
      <c r="BS70" s="264"/>
      <c r="BT70" s="264"/>
      <c r="BU70" s="264"/>
      <c r="BV70" s="264"/>
      <c r="BW70" s="264"/>
      <c r="BX70" s="264"/>
      <c r="BY70" s="264">
        <v>1</v>
      </c>
      <c r="BZ70" s="264">
        <v>3</v>
      </c>
      <c r="CA70" s="264" t="s">
        <v>688</v>
      </c>
      <c r="CB70" s="264"/>
      <c r="CC70" s="264"/>
      <c r="CD70" s="264"/>
      <c r="CE70" s="264"/>
      <c r="CF70" s="264">
        <v>2</v>
      </c>
      <c r="CG70" s="264">
        <v>1</v>
      </c>
      <c r="CH70" s="264"/>
      <c r="CI70" s="264" t="s">
        <v>651</v>
      </c>
      <c r="CJ70" s="264">
        <v>10</v>
      </c>
      <c r="CK70" s="264">
        <v>1</v>
      </c>
      <c r="CL70" s="264">
        <v>2</v>
      </c>
      <c r="CM70" s="264" t="s">
        <v>714</v>
      </c>
      <c r="CN70" s="264"/>
      <c r="CO70" s="264"/>
      <c r="CP70" s="264"/>
      <c r="CQ70" s="264">
        <v>2</v>
      </c>
      <c r="CR70" s="264"/>
      <c r="CS70" s="264"/>
      <c r="CT70" s="264"/>
      <c r="CU70" s="264">
        <v>106</v>
      </c>
      <c r="CV70" s="264">
        <v>26</v>
      </c>
      <c r="CW70" s="264">
        <v>63</v>
      </c>
      <c r="CX70" s="264" t="s">
        <v>823</v>
      </c>
      <c r="CY70" s="264">
        <v>3</v>
      </c>
      <c r="CZ70" s="264"/>
      <c r="DA70" s="264">
        <v>2</v>
      </c>
      <c r="DB70" s="264"/>
      <c r="DC70" s="264"/>
      <c r="DD70" s="264"/>
      <c r="DE70" s="264"/>
      <c r="DF70" s="264">
        <v>20</v>
      </c>
      <c r="DG70" s="264">
        <v>4</v>
      </c>
      <c r="DH70" s="264">
        <v>21</v>
      </c>
      <c r="DI70" s="264" t="s">
        <v>1015</v>
      </c>
      <c r="DJ70" s="264">
        <v>1</v>
      </c>
      <c r="DK70" s="264"/>
      <c r="DL70" s="264"/>
      <c r="DM70" s="264"/>
      <c r="DN70" s="264">
        <v>3</v>
      </c>
      <c r="DO70" s="264">
        <v>1</v>
      </c>
      <c r="DP70" s="264">
        <v>1</v>
      </c>
      <c r="DQ70" s="264" t="s">
        <v>657</v>
      </c>
      <c r="DR70" s="264">
        <v>15</v>
      </c>
      <c r="DS70" s="264" t="s">
        <v>688</v>
      </c>
      <c r="DT70" s="264">
        <v>15</v>
      </c>
      <c r="DU70" s="264" t="s">
        <v>688</v>
      </c>
      <c r="DV70" s="264">
        <v>5</v>
      </c>
      <c r="DW70" s="264" t="s">
        <v>688</v>
      </c>
      <c r="DX70" s="264">
        <v>2</v>
      </c>
      <c r="DY70" s="264" t="s">
        <v>854</v>
      </c>
      <c r="DZ70" s="264">
        <v>2</v>
      </c>
      <c r="EA70" s="264" t="s">
        <v>854</v>
      </c>
      <c r="EB70" s="264">
        <v>1</v>
      </c>
      <c r="EC70" s="264"/>
      <c r="ED70" s="264" t="s">
        <v>1470</v>
      </c>
      <c r="EE70" s="264">
        <v>13</v>
      </c>
      <c r="EF70" s="264"/>
      <c r="EG70" s="264"/>
      <c r="EH70" s="264"/>
      <c r="EI70" s="264">
        <v>3</v>
      </c>
      <c r="EJ70" s="264"/>
      <c r="EK70" s="264"/>
      <c r="EL70" s="264"/>
      <c r="EM70" s="264"/>
      <c r="EN70" s="264">
        <v>1</v>
      </c>
      <c r="EO70" s="264">
        <v>1</v>
      </c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 t="s">
        <v>649</v>
      </c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 t="s">
        <v>652</v>
      </c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 t="s">
        <v>37</v>
      </c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 t="s">
        <v>653</v>
      </c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 t="s">
        <v>654</v>
      </c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 t="s">
        <v>649</v>
      </c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 t="s">
        <v>655</v>
      </c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 t="s">
        <v>37</v>
      </c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>
        <v>182</v>
      </c>
      <c r="D72" s="264"/>
      <c r="E72" s="264">
        <v>90</v>
      </c>
      <c r="F72" s="264"/>
      <c r="G72" s="264">
        <v>182</v>
      </c>
      <c r="H72" s="264"/>
      <c r="I72" s="264">
        <v>90</v>
      </c>
      <c r="J72" s="264"/>
      <c r="K72" s="264">
        <v>107</v>
      </c>
      <c r="L72" s="264"/>
      <c r="M72" s="264">
        <v>1</v>
      </c>
      <c r="N72" s="264" t="s">
        <v>895</v>
      </c>
      <c r="O72" s="264">
        <v>34</v>
      </c>
      <c r="P72" s="264"/>
      <c r="Q72" s="264">
        <v>28</v>
      </c>
      <c r="R72" s="264"/>
      <c r="S72" s="264">
        <v>18</v>
      </c>
      <c r="T72" s="264"/>
      <c r="U72" s="264" t="s">
        <v>1086</v>
      </c>
      <c r="V72" s="264">
        <v>1</v>
      </c>
      <c r="W72" s="264" t="s">
        <v>886</v>
      </c>
      <c r="X72" s="264">
        <v>71</v>
      </c>
      <c r="Y72" s="264"/>
      <c r="Z72" s="264">
        <v>45</v>
      </c>
      <c r="AA72" s="264"/>
      <c r="AB72" s="264">
        <v>30</v>
      </c>
      <c r="AC72" s="264" t="s">
        <v>676</v>
      </c>
      <c r="AD72" s="264">
        <v>111</v>
      </c>
      <c r="AE72" s="264"/>
      <c r="AF72" s="264">
        <v>45</v>
      </c>
      <c r="AG72" s="264"/>
      <c r="AH72" s="264">
        <v>77</v>
      </c>
      <c r="AI72" s="264" t="s">
        <v>1125</v>
      </c>
      <c r="AJ72" s="264">
        <v>17</v>
      </c>
      <c r="AK72" s="264"/>
      <c r="AL72" s="264"/>
      <c r="AM72" s="264"/>
      <c r="AN72" s="264">
        <v>84</v>
      </c>
      <c r="AO72" s="264"/>
      <c r="AP72" s="264" t="s">
        <v>815</v>
      </c>
      <c r="AQ72" s="264">
        <v>13</v>
      </c>
      <c r="AR72" s="264"/>
      <c r="AS72" s="264">
        <v>50</v>
      </c>
      <c r="AT72" s="264"/>
      <c r="AU72" s="66">
        <v>43612</v>
      </c>
      <c r="AV72" s="264">
        <v>20</v>
      </c>
      <c r="AW72" s="264"/>
      <c r="AX72" s="264">
        <v>2</v>
      </c>
      <c r="AY72" s="264"/>
      <c r="AZ72" s="66">
        <v>43498</v>
      </c>
      <c r="BA72" s="264">
        <v>47</v>
      </c>
      <c r="BB72" s="264"/>
      <c r="BC72" s="264" t="s">
        <v>671</v>
      </c>
      <c r="BD72" s="264">
        <v>28</v>
      </c>
      <c r="BE72" s="264"/>
      <c r="BF72" s="66">
        <v>43496</v>
      </c>
      <c r="BG72" s="264">
        <v>59</v>
      </c>
      <c r="BH72" s="264"/>
      <c r="BI72" s="264" t="s">
        <v>1018</v>
      </c>
      <c r="BJ72" s="264">
        <v>7</v>
      </c>
      <c r="BK72" s="264"/>
      <c r="BL72" s="66">
        <v>43684</v>
      </c>
      <c r="BM72" s="264">
        <v>2</v>
      </c>
      <c r="BN72" s="66">
        <v>43644</v>
      </c>
      <c r="BO72" s="264">
        <v>5</v>
      </c>
      <c r="BP72" s="264"/>
      <c r="BQ72" s="264">
        <v>1</v>
      </c>
      <c r="BR72" s="264"/>
      <c r="BS72" s="264" t="s">
        <v>651</v>
      </c>
      <c r="BT72" s="264"/>
      <c r="BU72" s="264">
        <v>1</v>
      </c>
      <c r="BV72" s="264"/>
      <c r="BW72" s="264" t="s">
        <v>651</v>
      </c>
      <c r="BX72" s="264">
        <v>3</v>
      </c>
      <c r="BY72" s="264">
        <v>4</v>
      </c>
      <c r="BZ72" s="264"/>
      <c r="CA72" s="264" t="s">
        <v>651</v>
      </c>
      <c r="CB72" s="264"/>
      <c r="CC72" s="264"/>
      <c r="CD72" s="264"/>
      <c r="CE72" s="264"/>
      <c r="CF72" s="264">
        <v>1</v>
      </c>
      <c r="CG72" s="264">
        <v>1</v>
      </c>
      <c r="CH72" s="264"/>
      <c r="CI72" s="264" t="s">
        <v>651</v>
      </c>
      <c r="CJ72" s="264">
        <v>2</v>
      </c>
      <c r="CK72" s="264">
        <v>3</v>
      </c>
      <c r="CL72" s="264">
        <v>2</v>
      </c>
      <c r="CM72" s="264" t="s">
        <v>676</v>
      </c>
      <c r="CN72" s="264"/>
      <c r="CO72" s="264"/>
      <c r="CP72" s="264"/>
      <c r="CQ72" s="264">
        <v>1</v>
      </c>
      <c r="CR72" s="264"/>
      <c r="CS72" s="264">
        <v>2</v>
      </c>
      <c r="CT72" s="264"/>
      <c r="CU72" s="264">
        <v>85</v>
      </c>
      <c r="CV72" s="264">
        <v>24</v>
      </c>
      <c r="CW72" s="264">
        <v>76</v>
      </c>
      <c r="CX72" s="264" t="s">
        <v>960</v>
      </c>
      <c r="CY72" s="264">
        <v>2</v>
      </c>
      <c r="CZ72" s="264">
        <v>3</v>
      </c>
      <c r="DA72" s="264">
        <v>1</v>
      </c>
      <c r="DB72" s="264" t="s">
        <v>734</v>
      </c>
      <c r="DC72" s="264"/>
      <c r="DD72" s="264"/>
      <c r="DE72" s="264"/>
      <c r="DF72" s="264">
        <v>16</v>
      </c>
      <c r="DG72" s="264">
        <v>5</v>
      </c>
      <c r="DH72" s="264">
        <v>9</v>
      </c>
      <c r="DI72" s="264" t="s">
        <v>956</v>
      </c>
      <c r="DJ72" s="264"/>
      <c r="DK72" s="264"/>
      <c r="DL72" s="264"/>
      <c r="DM72" s="264"/>
      <c r="DN72" s="264"/>
      <c r="DO72" s="264">
        <v>2</v>
      </c>
      <c r="DP72" s="264">
        <v>1</v>
      </c>
      <c r="DQ72" s="264" t="s">
        <v>667</v>
      </c>
      <c r="DR72" s="264">
        <v>3</v>
      </c>
      <c r="DS72" s="264"/>
      <c r="DT72" s="264">
        <v>3</v>
      </c>
      <c r="DU72" s="264"/>
      <c r="DV72" s="264">
        <v>3</v>
      </c>
      <c r="DW72" s="264"/>
      <c r="DX72" s="264">
        <v>2</v>
      </c>
      <c r="DY72" s="264"/>
      <c r="DZ72" s="264">
        <v>2</v>
      </c>
      <c r="EA72" s="264"/>
      <c r="EB72" s="264">
        <v>2</v>
      </c>
      <c r="EC72" s="264"/>
      <c r="ED72" s="264" t="s">
        <v>1278</v>
      </c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>
        <v>164</v>
      </c>
      <c r="D73" s="264" t="s">
        <v>1306</v>
      </c>
      <c r="E73" s="264">
        <v>84</v>
      </c>
      <c r="F73" s="264" t="s">
        <v>739</v>
      </c>
      <c r="G73" s="264">
        <v>164</v>
      </c>
      <c r="H73" s="264" t="s">
        <v>1306</v>
      </c>
      <c r="I73" s="264">
        <v>84</v>
      </c>
      <c r="J73" s="264" t="s">
        <v>739</v>
      </c>
      <c r="K73" s="264">
        <v>90</v>
      </c>
      <c r="L73" s="264" t="s">
        <v>1323</v>
      </c>
      <c r="M73" s="264"/>
      <c r="N73" s="264" t="s">
        <v>1398</v>
      </c>
      <c r="O73" s="264">
        <v>34</v>
      </c>
      <c r="P73" s="264"/>
      <c r="Q73" s="264">
        <v>18</v>
      </c>
      <c r="R73" s="264" t="s">
        <v>927</v>
      </c>
      <c r="S73" s="264">
        <v>11</v>
      </c>
      <c r="T73" s="264" t="s">
        <v>1286</v>
      </c>
      <c r="U73" s="264" t="s">
        <v>808</v>
      </c>
      <c r="V73" s="264"/>
      <c r="W73" s="264"/>
      <c r="X73" s="264">
        <v>69</v>
      </c>
      <c r="Y73" s="264" t="s">
        <v>1375</v>
      </c>
      <c r="Z73" s="264">
        <v>38</v>
      </c>
      <c r="AA73" s="264" t="s">
        <v>896</v>
      </c>
      <c r="AB73" s="264">
        <v>32</v>
      </c>
      <c r="AC73" s="264" t="s">
        <v>944</v>
      </c>
      <c r="AD73" s="264">
        <v>95</v>
      </c>
      <c r="AE73" s="264" t="s">
        <v>1156</v>
      </c>
      <c r="AF73" s="264">
        <v>46</v>
      </c>
      <c r="AG73" s="66">
        <v>43498</v>
      </c>
      <c r="AH73" s="264">
        <v>58</v>
      </c>
      <c r="AI73" s="264" t="s">
        <v>1129</v>
      </c>
      <c r="AJ73" s="264">
        <v>21</v>
      </c>
      <c r="AK73" s="66">
        <v>43608</v>
      </c>
      <c r="AL73" s="264"/>
      <c r="AM73" s="264"/>
      <c r="AN73" s="264">
        <v>68</v>
      </c>
      <c r="AO73" s="264" t="s">
        <v>1322</v>
      </c>
      <c r="AP73" s="264" t="s">
        <v>969</v>
      </c>
      <c r="AQ73" s="264">
        <v>8</v>
      </c>
      <c r="AR73" s="264" t="s">
        <v>698</v>
      </c>
      <c r="AS73" s="264">
        <v>48</v>
      </c>
      <c r="AT73" s="264" t="s">
        <v>998</v>
      </c>
      <c r="AU73" s="66">
        <v>43553</v>
      </c>
      <c r="AV73" s="264">
        <v>22</v>
      </c>
      <c r="AW73" s="264" t="s">
        <v>704</v>
      </c>
      <c r="AX73" s="264">
        <v>9</v>
      </c>
      <c r="AY73" s="264" t="s">
        <v>907</v>
      </c>
      <c r="AZ73" s="66">
        <v>43656</v>
      </c>
      <c r="BA73" s="264">
        <v>51</v>
      </c>
      <c r="BB73" s="66">
        <v>43593</v>
      </c>
      <c r="BC73" s="264" t="s">
        <v>947</v>
      </c>
      <c r="BD73" s="264">
        <v>20</v>
      </c>
      <c r="BE73" s="264" t="s">
        <v>737</v>
      </c>
      <c r="BF73" s="66">
        <v>43700</v>
      </c>
      <c r="BG73" s="264">
        <v>61</v>
      </c>
      <c r="BH73" s="66">
        <v>43558</v>
      </c>
      <c r="BI73" s="264" t="s">
        <v>761</v>
      </c>
      <c r="BJ73" s="264">
        <v>9</v>
      </c>
      <c r="BK73" s="66">
        <v>43644</v>
      </c>
      <c r="BL73" s="66">
        <v>43656</v>
      </c>
      <c r="BM73" s="264">
        <v>9</v>
      </c>
      <c r="BN73" s="264" t="s">
        <v>651</v>
      </c>
      <c r="BO73" s="264"/>
      <c r="BP73" s="264">
        <v>1</v>
      </c>
      <c r="BQ73" s="264">
        <v>1</v>
      </c>
      <c r="BR73" s="264"/>
      <c r="BS73" s="264" t="s">
        <v>651</v>
      </c>
      <c r="BT73" s="264"/>
      <c r="BU73" s="264"/>
      <c r="BV73" s="264"/>
      <c r="BW73" s="264"/>
      <c r="BX73" s="264"/>
      <c r="BY73" s="264">
        <v>3</v>
      </c>
      <c r="BZ73" s="264"/>
      <c r="CA73" s="264" t="s">
        <v>651</v>
      </c>
      <c r="CB73" s="264"/>
      <c r="CC73" s="264">
        <v>1</v>
      </c>
      <c r="CD73" s="264"/>
      <c r="CE73" s="264" t="s">
        <v>651</v>
      </c>
      <c r="CF73" s="264">
        <v>1</v>
      </c>
      <c r="CG73" s="264">
        <v>2</v>
      </c>
      <c r="CH73" s="264"/>
      <c r="CI73" s="264" t="s">
        <v>651</v>
      </c>
      <c r="CJ73" s="264">
        <v>2</v>
      </c>
      <c r="CK73" s="264">
        <v>2</v>
      </c>
      <c r="CL73" s="264">
        <v>3</v>
      </c>
      <c r="CM73" s="264" t="s">
        <v>696</v>
      </c>
      <c r="CN73" s="264"/>
      <c r="CO73" s="264"/>
      <c r="CP73" s="264"/>
      <c r="CQ73" s="264">
        <v>2</v>
      </c>
      <c r="CR73" s="264">
        <v>1</v>
      </c>
      <c r="CS73" s="264">
        <v>1</v>
      </c>
      <c r="CT73" s="264" t="s">
        <v>657</v>
      </c>
      <c r="CU73" s="264">
        <v>77</v>
      </c>
      <c r="CV73" s="264">
        <v>26</v>
      </c>
      <c r="CW73" s="264">
        <v>62</v>
      </c>
      <c r="CX73" s="66">
        <v>43614</v>
      </c>
      <c r="CY73" s="264"/>
      <c r="CZ73" s="264">
        <v>1</v>
      </c>
      <c r="DA73" s="264">
        <v>2</v>
      </c>
      <c r="DB73" s="264" t="s">
        <v>714</v>
      </c>
      <c r="DC73" s="264">
        <v>1</v>
      </c>
      <c r="DD73" s="264"/>
      <c r="DE73" s="264"/>
      <c r="DF73" s="264">
        <v>17</v>
      </c>
      <c r="DG73" s="264">
        <v>5</v>
      </c>
      <c r="DH73" s="264">
        <v>11</v>
      </c>
      <c r="DI73" s="66">
        <v>43555</v>
      </c>
      <c r="DJ73" s="264"/>
      <c r="DK73" s="264"/>
      <c r="DL73" s="264">
        <v>1</v>
      </c>
      <c r="DM73" s="264"/>
      <c r="DN73" s="264"/>
      <c r="DO73" s="264">
        <v>1</v>
      </c>
      <c r="DP73" s="264"/>
      <c r="DQ73" s="264" t="s">
        <v>651</v>
      </c>
      <c r="DR73" s="264">
        <v>2</v>
      </c>
      <c r="DS73" s="264" t="s">
        <v>677</v>
      </c>
      <c r="DT73" s="264">
        <v>2</v>
      </c>
      <c r="DU73" s="264" t="s">
        <v>677</v>
      </c>
      <c r="DV73" s="264">
        <v>1</v>
      </c>
      <c r="DW73" s="264" t="s">
        <v>743</v>
      </c>
      <c r="DX73" s="264"/>
      <c r="DY73" s="264" t="s">
        <v>650</v>
      </c>
      <c r="DZ73" s="264"/>
      <c r="EA73" s="264" t="s">
        <v>650</v>
      </c>
      <c r="EB73" s="264"/>
      <c r="EC73" s="264" t="s">
        <v>650</v>
      </c>
      <c r="ED73" s="264"/>
      <c r="EE73" s="264">
        <v>1</v>
      </c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 t="s">
        <v>649</v>
      </c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 t="s">
        <v>652</v>
      </c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 t="s">
        <v>37</v>
      </c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 t="s">
        <v>653</v>
      </c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 t="s">
        <v>654</v>
      </c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 t="s">
        <v>649</v>
      </c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 t="s">
        <v>655</v>
      </c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 t="s">
        <v>37</v>
      </c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>
        <v>108</v>
      </c>
      <c r="D75" s="264"/>
      <c r="E75" s="264">
        <v>36</v>
      </c>
      <c r="F75" s="264"/>
      <c r="G75" s="264">
        <v>108</v>
      </c>
      <c r="H75" s="264"/>
      <c r="I75" s="264">
        <v>36</v>
      </c>
      <c r="J75" s="264"/>
      <c r="K75" s="264">
        <v>79</v>
      </c>
      <c r="L75" s="264"/>
      <c r="M75" s="264">
        <v>1</v>
      </c>
      <c r="N75" s="66">
        <v>43555</v>
      </c>
      <c r="O75" s="264">
        <v>16</v>
      </c>
      <c r="P75" s="264"/>
      <c r="Q75" s="264">
        <v>5</v>
      </c>
      <c r="R75" s="264"/>
      <c r="S75" s="264">
        <v>12</v>
      </c>
      <c r="T75" s="264"/>
      <c r="U75" s="66">
        <v>43584</v>
      </c>
      <c r="V75" s="264">
        <v>20</v>
      </c>
      <c r="W75" s="66">
        <v>43501</v>
      </c>
      <c r="X75" s="264">
        <v>42</v>
      </c>
      <c r="Y75" s="264"/>
      <c r="Z75" s="264">
        <v>19</v>
      </c>
      <c r="AA75" s="264"/>
      <c r="AB75" s="264">
        <v>16</v>
      </c>
      <c r="AC75" s="264" t="s">
        <v>944</v>
      </c>
      <c r="AD75" s="264">
        <v>66</v>
      </c>
      <c r="AE75" s="264"/>
      <c r="AF75" s="264">
        <v>17</v>
      </c>
      <c r="AG75" s="264"/>
      <c r="AH75" s="264">
        <v>63</v>
      </c>
      <c r="AI75" s="66">
        <v>43545</v>
      </c>
      <c r="AJ75" s="264">
        <v>8</v>
      </c>
      <c r="AK75" s="264"/>
      <c r="AL75" s="264"/>
      <c r="AM75" s="264"/>
      <c r="AN75" s="264">
        <v>47</v>
      </c>
      <c r="AO75" s="264"/>
      <c r="AP75" s="264" t="s">
        <v>958</v>
      </c>
      <c r="AQ75" s="264">
        <v>4</v>
      </c>
      <c r="AR75" s="264"/>
      <c r="AS75" s="264">
        <v>31</v>
      </c>
      <c r="AT75" s="264"/>
      <c r="AU75" s="66">
        <v>43674</v>
      </c>
      <c r="AV75" s="264">
        <v>6</v>
      </c>
      <c r="AW75" s="264"/>
      <c r="AX75" s="264"/>
      <c r="AY75" s="264"/>
      <c r="AZ75" s="264"/>
      <c r="BA75" s="264">
        <v>20</v>
      </c>
      <c r="BB75" s="264"/>
      <c r="BC75" s="264" t="s">
        <v>727</v>
      </c>
      <c r="BD75" s="264">
        <v>11</v>
      </c>
      <c r="BE75" s="264"/>
      <c r="BF75" s="66">
        <v>43646</v>
      </c>
      <c r="BG75" s="264">
        <v>18</v>
      </c>
      <c r="BH75" s="264"/>
      <c r="BI75" s="264" t="s">
        <v>657</v>
      </c>
      <c r="BJ75" s="264">
        <v>5</v>
      </c>
      <c r="BK75" s="264"/>
      <c r="BL75" s="66">
        <v>43721</v>
      </c>
      <c r="BM75" s="264">
        <v>4</v>
      </c>
      <c r="BN75" s="264" t="s">
        <v>693</v>
      </c>
      <c r="BO75" s="264">
        <v>1</v>
      </c>
      <c r="BP75" s="264"/>
      <c r="BQ75" s="264"/>
      <c r="BR75" s="264"/>
      <c r="BS75" s="264"/>
      <c r="BT75" s="264"/>
      <c r="BU75" s="264"/>
      <c r="BV75" s="264"/>
      <c r="BW75" s="264"/>
      <c r="BX75" s="264">
        <v>1</v>
      </c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>
        <v>2</v>
      </c>
      <c r="CK75" s="264">
        <v>1</v>
      </c>
      <c r="CL75" s="264">
        <v>1</v>
      </c>
      <c r="CM75" s="264" t="s">
        <v>657</v>
      </c>
      <c r="CN75" s="264"/>
      <c r="CO75" s="264"/>
      <c r="CP75" s="264"/>
      <c r="CQ75" s="264"/>
      <c r="CR75" s="264"/>
      <c r="CS75" s="264">
        <v>1</v>
      </c>
      <c r="CT75" s="264"/>
      <c r="CU75" s="264">
        <v>51</v>
      </c>
      <c r="CV75" s="264">
        <v>10</v>
      </c>
      <c r="CW75" s="264">
        <v>46</v>
      </c>
      <c r="CX75" s="66">
        <v>43725</v>
      </c>
      <c r="CY75" s="264"/>
      <c r="CZ75" s="264"/>
      <c r="DA75" s="264">
        <v>1</v>
      </c>
      <c r="DB75" s="264"/>
      <c r="DC75" s="264"/>
      <c r="DD75" s="264"/>
      <c r="DE75" s="264"/>
      <c r="DF75" s="264">
        <v>14</v>
      </c>
      <c r="DG75" s="264">
        <v>5</v>
      </c>
      <c r="DH75" s="264">
        <v>16</v>
      </c>
      <c r="DI75" s="66">
        <v>43700</v>
      </c>
      <c r="DJ75" s="264">
        <v>1</v>
      </c>
      <c r="DK75" s="264"/>
      <c r="DL75" s="264">
        <v>1</v>
      </c>
      <c r="DM75" s="264"/>
      <c r="DN75" s="264">
        <v>2</v>
      </c>
      <c r="DO75" s="264">
        <v>1</v>
      </c>
      <c r="DP75" s="264"/>
      <c r="DQ75" s="264" t="s">
        <v>651</v>
      </c>
      <c r="DR75" s="264">
        <v>3</v>
      </c>
      <c r="DS75" s="264"/>
      <c r="DT75" s="264">
        <v>3</v>
      </c>
      <c r="DU75" s="264"/>
      <c r="DV75" s="264">
        <v>3</v>
      </c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>
        <v>1</v>
      </c>
      <c r="EO75" s="264">
        <v>1</v>
      </c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>
        <v>129</v>
      </c>
      <c r="D76" s="66">
        <v>43574</v>
      </c>
      <c r="E76" s="264">
        <v>47</v>
      </c>
      <c r="F76" s="66">
        <v>43646</v>
      </c>
      <c r="G76" s="264">
        <v>129</v>
      </c>
      <c r="H76" s="66">
        <v>43574</v>
      </c>
      <c r="I76" s="264">
        <v>47</v>
      </c>
      <c r="J76" s="66">
        <v>43646</v>
      </c>
      <c r="K76" s="264">
        <v>54</v>
      </c>
      <c r="L76" s="264" t="s">
        <v>968</v>
      </c>
      <c r="M76" s="264"/>
      <c r="N76" s="264" t="s">
        <v>1409</v>
      </c>
      <c r="O76" s="264">
        <v>19</v>
      </c>
      <c r="P76" s="66">
        <v>43695</v>
      </c>
      <c r="Q76" s="264">
        <v>6</v>
      </c>
      <c r="R76" s="264" t="s">
        <v>690</v>
      </c>
      <c r="S76" s="264">
        <v>9</v>
      </c>
      <c r="T76" s="264" t="s">
        <v>672</v>
      </c>
      <c r="U76" s="264" t="s">
        <v>696</v>
      </c>
      <c r="V76" s="264">
        <v>1</v>
      </c>
      <c r="W76" s="264" t="s">
        <v>886</v>
      </c>
      <c r="X76" s="264">
        <v>56</v>
      </c>
      <c r="Y76" s="264" t="s">
        <v>714</v>
      </c>
      <c r="Z76" s="264">
        <v>29</v>
      </c>
      <c r="AA76" s="264" t="s">
        <v>1313</v>
      </c>
      <c r="AB76" s="264">
        <v>20</v>
      </c>
      <c r="AC76" s="264" t="s">
        <v>835</v>
      </c>
      <c r="AD76" s="264">
        <v>73</v>
      </c>
      <c r="AE76" s="66">
        <v>43626</v>
      </c>
      <c r="AF76" s="264">
        <v>18</v>
      </c>
      <c r="AG76" s="66">
        <v>43713</v>
      </c>
      <c r="AH76" s="264">
        <v>34</v>
      </c>
      <c r="AI76" s="264" t="s">
        <v>707</v>
      </c>
      <c r="AJ76" s="264">
        <v>8</v>
      </c>
      <c r="AK76" s="264"/>
      <c r="AL76" s="264"/>
      <c r="AM76" s="264"/>
      <c r="AN76" s="264">
        <v>52</v>
      </c>
      <c r="AO76" s="66">
        <v>43626</v>
      </c>
      <c r="AP76" s="264" t="s">
        <v>992</v>
      </c>
      <c r="AQ76" s="264">
        <v>2</v>
      </c>
      <c r="AR76" s="264" t="s">
        <v>678</v>
      </c>
      <c r="AS76" s="264">
        <v>29</v>
      </c>
      <c r="AT76" s="264" t="s">
        <v>816</v>
      </c>
      <c r="AU76" s="66">
        <v>43607</v>
      </c>
      <c r="AV76" s="264">
        <v>7</v>
      </c>
      <c r="AW76" s="66">
        <v>43662</v>
      </c>
      <c r="AX76" s="264">
        <v>1</v>
      </c>
      <c r="AY76" s="264" t="s">
        <v>651</v>
      </c>
      <c r="AZ76" s="66">
        <v>43467</v>
      </c>
      <c r="BA76" s="264">
        <v>20</v>
      </c>
      <c r="BB76" s="264"/>
      <c r="BC76" s="264" t="s">
        <v>885</v>
      </c>
      <c r="BD76" s="264">
        <v>12</v>
      </c>
      <c r="BE76" s="66">
        <v>43474</v>
      </c>
      <c r="BF76" s="66">
        <v>43610</v>
      </c>
      <c r="BG76" s="264">
        <v>23</v>
      </c>
      <c r="BH76" s="66">
        <v>43704</v>
      </c>
      <c r="BI76" s="264" t="s">
        <v>1332</v>
      </c>
      <c r="BJ76" s="264">
        <v>1</v>
      </c>
      <c r="BK76" s="264" t="s">
        <v>889</v>
      </c>
      <c r="BL76" s="66">
        <v>43467</v>
      </c>
      <c r="BM76" s="264">
        <v>1</v>
      </c>
      <c r="BN76" s="264" t="s">
        <v>651</v>
      </c>
      <c r="BO76" s="264"/>
      <c r="BP76" s="264"/>
      <c r="BQ76" s="264"/>
      <c r="BR76" s="264"/>
      <c r="BS76" s="264"/>
      <c r="BT76" s="264"/>
      <c r="BU76" s="264"/>
      <c r="BV76" s="264"/>
      <c r="BW76" s="264"/>
      <c r="BX76" s="264">
        <v>1</v>
      </c>
      <c r="BY76" s="264">
        <v>1</v>
      </c>
      <c r="BZ76" s="264"/>
      <c r="CA76" s="264" t="s">
        <v>651</v>
      </c>
      <c r="CB76" s="264">
        <v>1</v>
      </c>
      <c r="CC76" s="264"/>
      <c r="CD76" s="264"/>
      <c r="CE76" s="264"/>
      <c r="CF76" s="264">
        <v>1</v>
      </c>
      <c r="CG76" s="264"/>
      <c r="CH76" s="264"/>
      <c r="CI76" s="264"/>
      <c r="CJ76" s="264">
        <v>2</v>
      </c>
      <c r="CK76" s="264">
        <v>1</v>
      </c>
      <c r="CL76" s="264">
        <v>1</v>
      </c>
      <c r="CM76" s="264" t="s">
        <v>657</v>
      </c>
      <c r="CN76" s="264"/>
      <c r="CO76" s="264"/>
      <c r="CP76" s="264"/>
      <c r="CQ76" s="264"/>
      <c r="CR76" s="264"/>
      <c r="CS76" s="264"/>
      <c r="CT76" s="264"/>
      <c r="CU76" s="264">
        <v>54</v>
      </c>
      <c r="CV76" s="264">
        <v>12</v>
      </c>
      <c r="CW76" s="264">
        <v>28</v>
      </c>
      <c r="CX76" s="264" t="s">
        <v>701</v>
      </c>
      <c r="CY76" s="264">
        <v>3</v>
      </c>
      <c r="CZ76" s="264"/>
      <c r="DA76" s="264"/>
      <c r="DB76" s="264"/>
      <c r="DC76" s="264"/>
      <c r="DD76" s="264"/>
      <c r="DE76" s="264">
        <v>1</v>
      </c>
      <c r="DF76" s="264">
        <v>23</v>
      </c>
      <c r="DG76" s="264">
        <v>4</v>
      </c>
      <c r="DH76" s="264">
        <v>14</v>
      </c>
      <c r="DI76" s="66">
        <v>43518</v>
      </c>
      <c r="DJ76" s="264"/>
      <c r="DK76" s="264"/>
      <c r="DL76" s="264"/>
      <c r="DM76" s="264"/>
      <c r="DN76" s="264">
        <v>3</v>
      </c>
      <c r="DO76" s="264">
        <v>1</v>
      </c>
      <c r="DP76" s="264"/>
      <c r="DQ76" s="264" t="s">
        <v>651</v>
      </c>
      <c r="DR76" s="264">
        <v>6</v>
      </c>
      <c r="DS76" s="264" t="s">
        <v>651</v>
      </c>
      <c r="DT76" s="264">
        <v>6</v>
      </c>
      <c r="DU76" s="264" t="s">
        <v>651</v>
      </c>
      <c r="DV76" s="264">
        <v>5</v>
      </c>
      <c r="DW76" s="264" t="s">
        <v>667</v>
      </c>
      <c r="DX76" s="264">
        <v>1</v>
      </c>
      <c r="DY76" s="264" t="s">
        <v>651</v>
      </c>
      <c r="DZ76" s="264">
        <v>1</v>
      </c>
      <c r="EA76" s="264" t="s">
        <v>651</v>
      </c>
      <c r="EB76" s="264"/>
      <c r="EC76" s="264"/>
      <c r="ED76" s="264"/>
      <c r="EE76" s="264">
        <v>1</v>
      </c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 t="s">
        <v>649</v>
      </c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 t="s">
        <v>652</v>
      </c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 t="s">
        <v>37</v>
      </c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 t="s">
        <v>653</v>
      </c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 t="s">
        <v>654</v>
      </c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 t="s">
        <v>649</v>
      </c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 t="s">
        <v>655</v>
      </c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 t="s">
        <v>37</v>
      </c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>
        <v>62</v>
      </c>
      <c r="D78" s="264"/>
      <c r="E78" s="264">
        <v>29</v>
      </c>
      <c r="F78" s="264"/>
      <c r="G78" s="264">
        <v>62</v>
      </c>
      <c r="H78" s="264"/>
      <c r="I78" s="264">
        <v>29</v>
      </c>
      <c r="J78" s="264"/>
      <c r="K78" s="264">
        <v>53</v>
      </c>
      <c r="L78" s="264"/>
      <c r="M78" s="264"/>
      <c r="N78" s="264" t="s">
        <v>916</v>
      </c>
      <c r="O78" s="264">
        <v>9</v>
      </c>
      <c r="P78" s="264"/>
      <c r="Q78" s="264">
        <v>6</v>
      </c>
      <c r="R78" s="264"/>
      <c r="S78" s="264">
        <v>9</v>
      </c>
      <c r="T78" s="264"/>
      <c r="U78" s="264" t="s">
        <v>696</v>
      </c>
      <c r="V78" s="264">
        <v>4</v>
      </c>
      <c r="W78" s="264" t="s">
        <v>859</v>
      </c>
      <c r="X78" s="264">
        <v>26</v>
      </c>
      <c r="Y78" s="264"/>
      <c r="Z78" s="264">
        <v>15</v>
      </c>
      <c r="AA78" s="264"/>
      <c r="AB78" s="264">
        <v>20</v>
      </c>
      <c r="AC78" s="264" t="s">
        <v>772</v>
      </c>
      <c r="AD78" s="264">
        <v>36</v>
      </c>
      <c r="AE78" s="264"/>
      <c r="AF78" s="264">
        <v>14</v>
      </c>
      <c r="AG78" s="264"/>
      <c r="AH78" s="264">
        <v>33</v>
      </c>
      <c r="AI78" s="66">
        <v>43706</v>
      </c>
      <c r="AJ78" s="264">
        <v>9</v>
      </c>
      <c r="AK78" s="264"/>
      <c r="AL78" s="264"/>
      <c r="AM78" s="264"/>
      <c r="AN78" s="264">
        <v>25</v>
      </c>
      <c r="AO78" s="264"/>
      <c r="AP78" s="264" t="s">
        <v>992</v>
      </c>
      <c r="AQ78" s="264">
        <v>1</v>
      </c>
      <c r="AR78" s="264"/>
      <c r="AS78" s="264">
        <v>12</v>
      </c>
      <c r="AT78" s="264"/>
      <c r="AU78" s="66">
        <v>43574</v>
      </c>
      <c r="AV78" s="264">
        <v>6</v>
      </c>
      <c r="AW78" s="264"/>
      <c r="AX78" s="264"/>
      <c r="AY78" s="264"/>
      <c r="AZ78" s="264"/>
      <c r="BA78" s="264">
        <v>18</v>
      </c>
      <c r="BB78" s="264"/>
      <c r="BC78" s="264" t="s">
        <v>808</v>
      </c>
      <c r="BD78" s="264">
        <v>12</v>
      </c>
      <c r="BE78" s="264"/>
      <c r="BF78" s="264" t="s">
        <v>1083</v>
      </c>
      <c r="BG78" s="264">
        <v>21</v>
      </c>
      <c r="BH78" s="264"/>
      <c r="BI78" s="264" t="s">
        <v>773</v>
      </c>
      <c r="BJ78" s="264">
        <v>2</v>
      </c>
      <c r="BK78" s="264"/>
      <c r="BL78" s="66">
        <v>43714</v>
      </c>
      <c r="BM78" s="264">
        <v>1</v>
      </c>
      <c r="BN78" s="264" t="s">
        <v>657</v>
      </c>
      <c r="BO78" s="264">
        <v>1</v>
      </c>
      <c r="BP78" s="264"/>
      <c r="BQ78" s="264">
        <v>1</v>
      </c>
      <c r="BR78" s="264"/>
      <c r="BS78" s="264" t="s">
        <v>651</v>
      </c>
      <c r="BT78" s="264">
        <v>1</v>
      </c>
      <c r="BU78" s="264"/>
      <c r="BV78" s="264"/>
      <c r="BW78" s="264"/>
      <c r="BX78" s="264"/>
      <c r="BY78" s="264">
        <v>1</v>
      </c>
      <c r="BZ78" s="264"/>
      <c r="CA78" s="264" t="s">
        <v>651</v>
      </c>
      <c r="CB78" s="264"/>
      <c r="CC78" s="264"/>
      <c r="CD78" s="264"/>
      <c r="CE78" s="264"/>
      <c r="CF78" s="264"/>
      <c r="CG78" s="264"/>
      <c r="CH78" s="264">
        <v>1</v>
      </c>
      <c r="CI78" s="264"/>
      <c r="CJ78" s="264">
        <v>1</v>
      </c>
      <c r="CK78" s="264">
        <v>1</v>
      </c>
      <c r="CL78" s="264">
        <v>4</v>
      </c>
      <c r="CM78" s="264" t="s">
        <v>690</v>
      </c>
      <c r="CN78" s="264"/>
      <c r="CO78" s="264"/>
      <c r="CP78" s="264"/>
      <c r="CQ78" s="264"/>
      <c r="CR78" s="264"/>
      <c r="CS78" s="264"/>
      <c r="CT78" s="264"/>
      <c r="CU78" s="264">
        <v>40</v>
      </c>
      <c r="CV78" s="264">
        <v>13</v>
      </c>
      <c r="CW78" s="264">
        <v>31</v>
      </c>
      <c r="CX78" s="66">
        <v>43614</v>
      </c>
      <c r="CY78" s="264">
        <v>1</v>
      </c>
      <c r="CZ78" s="264">
        <v>1</v>
      </c>
      <c r="DA78" s="264"/>
      <c r="DB78" s="264" t="s">
        <v>651</v>
      </c>
      <c r="DC78" s="264"/>
      <c r="DD78" s="264"/>
      <c r="DE78" s="264"/>
      <c r="DF78" s="264">
        <v>2</v>
      </c>
      <c r="DG78" s="264"/>
      <c r="DH78" s="264">
        <v>6</v>
      </c>
      <c r="DI78" s="264"/>
      <c r="DJ78" s="264">
        <v>1</v>
      </c>
      <c r="DK78" s="264"/>
      <c r="DL78" s="264"/>
      <c r="DM78" s="264"/>
      <c r="DN78" s="264">
        <v>2</v>
      </c>
      <c r="DO78" s="264">
        <v>3</v>
      </c>
      <c r="DP78" s="264"/>
      <c r="DQ78" s="264" t="s">
        <v>651</v>
      </c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>
        <v>101</v>
      </c>
      <c r="D79" s="264" t="s">
        <v>940</v>
      </c>
      <c r="E79" s="264">
        <v>34</v>
      </c>
      <c r="F79" s="66">
        <v>43513</v>
      </c>
      <c r="G79" s="264">
        <v>101</v>
      </c>
      <c r="H79" s="264" t="s">
        <v>940</v>
      </c>
      <c r="I79" s="264">
        <v>34</v>
      </c>
      <c r="J79" s="66">
        <v>43513</v>
      </c>
      <c r="K79" s="264">
        <v>57</v>
      </c>
      <c r="L79" s="66">
        <v>43592</v>
      </c>
      <c r="M79" s="264"/>
      <c r="N79" s="264" t="s">
        <v>1331</v>
      </c>
      <c r="O79" s="264">
        <v>23</v>
      </c>
      <c r="P79" s="264" t="s">
        <v>1441</v>
      </c>
      <c r="Q79" s="264">
        <v>3</v>
      </c>
      <c r="R79" s="264" t="s">
        <v>678</v>
      </c>
      <c r="S79" s="264">
        <v>8</v>
      </c>
      <c r="T79" s="264" t="s">
        <v>875</v>
      </c>
      <c r="U79" s="66">
        <v>43551</v>
      </c>
      <c r="V79" s="264">
        <v>8</v>
      </c>
      <c r="W79" s="66">
        <v>43648</v>
      </c>
      <c r="X79" s="264">
        <v>36</v>
      </c>
      <c r="Y79" s="264" t="s">
        <v>938</v>
      </c>
      <c r="Z79" s="264">
        <v>20</v>
      </c>
      <c r="AA79" s="264" t="s">
        <v>714</v>
      </c>
      <c r="AB79" s="264">
        <v>19</v>
      </c>
      <c r="AC79" s="264" t="s">
        <v>909</v>
      </c>
      <c r="AD79" s="264">
        <v>65</v>
      </c>
      <c r="AE79" s="264" t="s">
        <v>776</v>
      </c>
      <c r="AF79" s="264">
        <v>14</v>
      </c>
      <c r="AG79" s="264"/>
      <c r="AH79" s="264">
        <v>38</v>
      </c>
      <c r="AI79" s="66">
        <v>43734</v>
      </c>
      <c r="AJ79" s="264">
        <v>10</v>
      </c>
      <c r="AK79" s="66">
        <v>43476</v>
      </c>
      <c r="AL79" s="264"/>
      <c r="AM79" s="264"/>
      <c r="AN79" s="264">
        <v>41</v>
      </c>
      <c r="AO79" s="264" t="s">
        <v>1373</v>
      </c>
      <c r="AP79" s="264" t="s">
        <v>1359</v>
      </c>
      <c r="AQ79" s="264">
        <v>5</v>
      </c>
      <c r="AR79" s="264" t="s">
        <v>756</v>
      </c>
      <c r="AS79" s="264">
        <v>31</v>
      </c>
      <c r="AT79" s="264" t="s">
        <v>1471</v>
      </c>
      <c r="AU79" s="66">
        <v>43676</v>
      </c>
      <c r="AV79" s="264">
        <v>10</v>
      </c>
      <c r="AW79" s="264" t="s">
        <v>667</v>
      </c>
      <c r="AX79" s="264">
        <v>2</v>
      </c>
      <c r="AY79" s="264" t="s">
        <v>651</v>
      </c>
      <c r="AZ79" s="66">
        <v>43713</v>
      </c>
      <c r="BA79" s="264">
        <v>21</v>
      </c>
      <c r="BB79" s="66">
        <v>43662</v>
      </c>
      <c r="BC79" s="264" t="s">
        <v>1354</v>
      </c>
      <c r="BD79" s="264">
        <v>10</v>
      </c>
      <c r="BE79" s="264" t="s">
        <v>692</v>
      </c>
      <c r="BF79" s="66">
        <v>43584</v>
      </c>
      <c r="BG79" s="264">
        <v>16</v>
      </c>
      <c r="BH79" s="264" t="s">
        <v>767</v>
      </c>
      <c r="BI79" s="264" t="s">
        <v>1112</v>
      </c>
      <c r="BJ79" s="264">
        <v>1</v>
      </c>
      <c r="BK79" s="264" t="s">
        <v>678</v>
      </c>
      <c r="BL79" s="66">
        <v>43710</v>
      </c>
      <c r="BM79" s="264">
        <v>1</v>
      </c>
      <c r="BN79" s="264" t="s">
        <v>651</v>
      </c>
      <c r="BO79" s="264"/>
      <c r="BP79" s="264">
        <v>2</v>
      </c>
      <c r="BQ79" s="264"/>
      <c r="BR79" s="264"/>
      <c r="BS79" s="264"/>
      <c r="BT79" s="264"/>
      <c r="BU79" s="264"/>
      <c r="BV79" s="264"/>
      <c r="BW79" s="264"/>
      <c r="BX79" s="264">
        <v>4</v>
      </c>
      <c r="BY79" s="264">
        <v>1</v>
      </c>
      <c r="BZ79" s="264"/>
      <c r="CA79" s="264" t="s">
        <v>651</v>
      </c>
      <c r="CB79" s="264"/>
      <c r="CC79" s="264"/>
      <c r="CD79" s="264"/>
      <c r="CE79" s="264"/>
      <c r="CF79" s="264">
        <v>1</v>
      </c>
      <c r="CG79" s="264"/>
      <c r="CH79" s="264"/>
      <c r="CI79" s="264"/>
      <c r="CJ79" s="264">
        <v>3</v>
      </c>
      <c r="CK79" s="264">
        <v>4</v>
      </c>
      <c r="CL79" s="264">
        <v>2</v>
      </c>
      <c r="CM79" s="264" t="s">
        <v>667</v>
      </c>
      <c r="CN79" s="264"/>
      <c r="CO79" s="264"/>
      <c r="CP79" s="264"/>
      <c r="CQ79" s="264"/>
      <c r="CR79" s="264"/>
      <c r="CS79" s="264">
        <v>2</v>
      </c>
      <c r="CT79" s="264"/>
      <c r="CU79" s="264">
        <v>54</v>
      </c>
      <c r="CV79" s="264">
        <v>13</v>
      </c>
      <c r="CW79" s="264">
        <v>34</v>
      </c>
      <c r="CX79" s="66">
        <v>43673</v>
      </c>
      <c r="CY79" s="264">
        <v>4</v>
      </c>
      <c r="CZ79" s="264"/>
      <c r="DA79" s="264">
        <v>2</v>
      </c>
      <c r="DB79" s="264"/>
      <c r="DC79" s="264"/>
      <c r="DD79" s="264"/>
      <c r="DE79" s="264"/>
      <c r="DF79" s="264">
        <v>8</v>
      </c>
      <c r="DG79" s="264">
        <v>3</v>
      </c>
      <c r="DH79" s="264">
        <v>9</v>
      </c>
      <c r="DI79" s="264" t="s">
        <v>688</v>
      </c>
      <c r="DJ79" s="264"/>
      <c r="DK79" s="264"/>
      <c r="DL79" s="264">
        <v>1</v>
      </c>
      <c r="DM79" s="264"/>
      <c r="DN79" s="264">
        <v>3</v>
      </c>
      <c r="DO79" s="264"/>
      <c r="DP79" s="264"/>
      <c r="DQ79" s="264"/>
      <c r="DR79" s="264">
        <v>1</v>
      </c>
      <c r="DS79" s="264" t="s">
        <v>651</v>
      </c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>
        <v>1</v>
      </c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 t="s">
        <v>649</v>
      </c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 t="s">
        <v>652</v>
      </c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 t="s">
        <v>37</v>
      </c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 t="s">
        <v>653</v>
      </c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 t="s">
        <v>654</v>
      </c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 t="s">
        <v>649</v>
      </c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 t="s">
        <v>655</v>
      </c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 t="s">
        <v>37</v>
      </c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>
        <v>45</v>
      </c>
      <c r="D81" s="264"/>
      <c r="E81" s="264">
        <v>11</v>
      </c>
      <c r="F81" s="264"/>
      <c r="G81" s="264">
        <v>45</v>
      </c>
      <c r="H81" s="264"/>
      <c r="I81" s="264">
        <v>11</v>
      </c>
      <c r="J81" s="264"/>
      <c r="K81" s="264">
        <v>13</v>
      </c>
      <c r="L81" s="264"/>
      <c r="M81" s="264"/>
      <c r="N81" s="264" t="s">
        <v>741</v>
      </c>
      <c r="O81" s="264">
        <v>15</v>
      </c>
      <c r="P81" s="264"/>
      <c r="Q81" s="264"/>
      <c r="R81" s="264"/>
      <c r="S81" s="264">
        <v>5</v>
      </c>
      <c r="T81" s="264"/>
      <c r="U81" s="264"/>
      <c r="V81" s="264"/>
      <c r="W81" s="264"/>
      <c r="X81" s="264">
        <v>16</v>
      </c>
      <c r="Y81" s="264"/>
      <c r="Z81" s="264">
        <v>7</v>
      </c>
      <c r="AA81" s="264"/>
      <c r="AB81" s="264">
        <v>1</v>
      </c>
      <c r="AC81" s="264" t="s">
        <v>720</v>
      </c>
      <c r="AD81" s="264">
        <v>29</v>
      </c>
      <c r="AE81" s="264"/>
      <c r="AF81" s="264">
        <v>4</v>
      </c>
      <c r="AG81" s="264"/>
      <c r="AH81" s="264">
        <v>12</v>
      </c>
      <c r="AI81" s="264" t="s">
        <v>688</v>
      </c>
      <c r="AJ81" s="264">
        <v>6</v>
      </c>
      <c r="AK81" s="264"/>
      <c r="AL81" s="264"/>
      <c r="AM81" s="264"/>
      <c r="AN81" s="264">
        <v>19</v>
      </c>
      <c r="AO81" s="264"/>
      <c r="AP81" s="264" t="s">
        <v>1109</v>
      </c>
      <c r="AQ81" s="264">
        <v>3</v>
      </c>
      <c r="AR81" s="264"/>
      <c r="AS81" s="264">
        <v>16</v>
      </c>
      <c r="AT81" s="264"/>
      <c r="AU81" s="264" t="s">
        <v>1011</v>
      </c>
      <c r="AV81" s="264">
        <v>10</v>
      </c>
      <c r="AW81" s="264"/>
      <c r="AX81" s="264"/>
      <c r="AY81" s="264"/>
      <c r="AZ81" s="264"/>
      <c r="BA81" s="264">
        <v>6</v>
      </c>
      <c r="BB81" s="264"/>
      <c r="BC81" s="264" t="s">
        <v>1067</v>
      </c>
      <c r="BD81" s="264">
        <v>5</v>
      </c>
      <c r="BE81" s="264"/>
      <c r="BF81" s="264" t="s">
        <v>801</v>
      </c>
      <c r="BG81" s="264">
        <v>8</v>
      </c>
      <c r="BH81" s="264"/>
      <c r="BI81" s="264" t="s">
        <v>794</v>
      </c>
      <c r="BJ81" s="264">
        <v>1</v>
      </c>
      <c r="BK81" s="264"/>
      <c r="BL81" s="66">
        <v>43474</v>
      </c>
      <c r="BM81" s="264">
        <v>1</v>
      </c>
      <c r="BN81" s="264" t="s">
        <v>651</v>
      </c>
      <c r="BO81" s="264"/>
      <c r="BP81" s="264"/>
      <c r="BQ81" s="264"/>
      <c r="BR81" s="264"/>
      <c r="BS81" s="264"/>
      <c r="BT81" s="264"/>
      <c r="BU81" s="264"/>
      <c r="BV81" s="264"/>
      <c r="BW81" s="264"/>
      <c r="BX81" s="264">
        <v>1</v>
      </c>
      <c r="BY81" s="264"/>
      <c r="BZ81" s="264"/>
      <c r="CA81" s="264"/>
      <c r="CB81" s="264"/>
      <c r="CC81" s="264"/>
      <c r="CD81" s="264"/>
      <c r="CE81" s="264"/>
      <c r="CF81" s="264">
        <v>1</v>
      </c>
      <c r="CG81" s="264"/>
      <c r="CH81" s="264"/>
      <c r="CI81" s="264"/>
      <c r="CJ81" s="264">
        <v>2</v>
      </c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>
        <v>16</v>
      </c>
      <c r="CV81" s="264">
        <v>5</v>
      </c>
      <c r="CW81" s="264">
        <v>6</v>
      </c>
      <c r="CX81" s="264" t="s">
        <v>801</v>
      </c>
      <c r="CY81" s="264"/>
      <c r="CZ81" s="264"/>
      <c r="DA81" s="264"/>
      <c r="DB81" s="264"/>
      <c r="DC81" s="264"/>
      <c r="DD81" s="264"/>
      <c r="DE81" s="264"/>
      <c r="DF81" s="264">
        <v>2</v>
      </c>
      <c r="DG81" s="264"/>
      <c r="DH81" s="264">
        <v>2</v>
      </c>
      <c r="DI81" s="264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>
        <v>59</v>
      </c>
      <c r="D82" s="66">
        <v>43496</v>
      </c>
      <c r="E82" s="264">
        <v>30</v>
      </c>
      <c r="F82" s="264" t="s">
        <v>1444</v>
      </c>
      <c r="G82" s="264">
        <v>59</v>
      </c>
      <c r="H82" s="66">
        <v>43496</v>
      </c>
      <c r="I82" s="264">
        <v>30</v>
      </c>
      <c r="J82" s="264" t="s">
        <v>1444</v>
      </c>
      <c r="K82" s="264">
        <v>26</v>
      </c>
      <c r="L82" s="264" t="s">
        <v>651</v>
      </c>
      <c r="M82" s="264"/>
      <c r="N82" s="264" t="s">
        <v>1028</v>
      </c>
      <c r="O82" s="264">
        <v>8</v>
      </c>
      <c r="P82" s="264" t="s">
        <v>962</v>
      </c>
      <c r="Q82" s="264">
        <v>5</v>
      </c>
      <c r="R82" s="264" t="s">
        <v>651</v>
      </c>
      <c r="S82" s="264">
        <v>7</v>
      </c>
      <c r="T82" s="264" t="s">
        <v>696</v>
      </c>
      <c r="U82" s="264" t="s">
        <v>882</v>
      </c>
      <c r="V82" s="264"/>
      <c r="W82" s="264"/>
      <c r="X82" s="264">
        <v>24</v>
      </c>
      <c r="Y82" s="264" t="s">
        <v>657</v>
      </c>
      <c r="Z82" s="264">
        <v>14</v>
      </c>
      <c r="AA82" s="264" t="s">
        <v>651</v>
      </c>
      <c r="AB82" s="264">
        <v>8</v>
      </c>
      <c r="AC82" s="264" t="s">
        <v>824</v>
      </c>
      <c r="AD82" s="264">
        <v>35</v>
      </c>
      <c r="AE82" s="66">
        <v>43666</v>
      </c>
      <c r="AF82" s="264">
        <v>16</v>
      </c>
      <c r="AG82" s="264" t="s">
        <v>731</v>
      </c>
      <c r="AH82" s="264">
        <v>18</v>
      </c>
      <c r="AI82" s="264" t="s">
        <v>1112</v>
      </c>
      <c r="AJ82" s="264">
        <v>9</v>
      </c>
      <c r="AK82" s="264" t="s">
        <v>657</v>
      </c>
      <c r="AL82" s="264"/>
      <c r="AM82" s="264"/>
      <c r="AN82" s="264">
        <v>25</v>
      </c>
      <c r="AO82" s="264" t="s">
        <v>1025</v>
      </c>
      <c r="AP82" s="264" t="s">
        <v>1174</v>
      </c>
      <c r="AQ82" s="264">
        <v>2</v>
      </c>
      <c r="AR82" s="264" t="s">
        <v>677</v>
      </c>
      <c r="AS82" s="264">
        <v>19</v>
      </c>
      <c r="AT82" s="66">
        <v>43695</v>
      </c>
      <c r="AU82" s="264" t="s">
        <v>1177</v>
      </c>
      <c r="AV82" s="264">
        <v>6</v>
      </c>
      <c r="AW82" s="264" t="s">
        <v>706</v>
      </c>
      <c r="AX82" s="264">
        <v>3</v>
      </c>
      <c r="AY82" s="264" t="s">
        <v>651</v>
      </c>
      <c r="AZ82" s="264" t="s">
        <v>704</v>
      </c>
      <c r="BA82" s="264">
        <v>18</v>
      </c>
      <c r="BB82" s="264" t="s">
        <v>697</v>
      </c>
      <c r="BC82" s="264" t="s">
        <v>676</v>
      </c>
      <c r="BD82" s="264">
        <v>12</v>
      </c>
      <c r="BE82" s="264" t="s">
        <v>1445</v>
      </c>
      <c r="BF82" s="264" t="s">
        <v>696</v>
      </c>
      <c r="BG82" s="264">
        <v>20</v>
      </c>
      <c r="BH82" s="264" t="s">
        <v>722</v>
      </c>
      <c r="BI82" s="264" t="s">
        <v>667</v>
      </c>
      <c r="BJ82" s="264">
        <v>5</v>
      </c>
      <c r="BK82" s="264" t="s">
        <v>756</v>
      </c>
      <c r="BL82" s="66">
        <v>43662</v>
      </c>
      <c r="BM82" s="264">
        <v>3</v>
      </c>
      <c r="BN82" s="264" t="s">
        <v>676</v>
      </c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>
        <v>1</v>
      </c>
      <c r="BZ82" s="264"/>
      <c r="CA82" s="264" t="s">
        <v>651</v>
      </c>
      <c r="CB82" s="264"/>
      <c r="CC82" s="264"/>
      <c r="CD82" s="264"/>
      <c r="CE82" s="264"/>
      <c r="CF82" s="264"/>
      <c r="CG82" s="264">
        <v>1</v>
      </c>
      <c r="CH82" s="264"/>
      <c r="CI82" s="264" t="s">
        <v>651</v>
      </c>
      <c r="CJ82" s="264">
        <v>4</v>
      </c>
      <c r="CK82" s="264">
        <v>1</v>
      </c>
      <c r="CL82" s="264">
        <v>1</v>
      </c>
      <c r="CM82" s="264" t="s">
        <v>657</v>
      </c>
      <c r="CN82" s="264"/>
      <c r="CO82" s="264"/>
      <c r="CP82" s="264"/>
      <c r="CQ82" s="264"/>
      <c r="CR82" s="264"/>
      <c r="CS82" s="264"/>
      <c r="CT82" s="264"/>
      <c r="CU82" s="264">
        <v>28</v>
      </c>
      <c r="CV82" s="264">
        <v>12</v>
      </c>
      <c r="CW82" s="264">
        <v>23</v>
      </c>
      <c r="CX82" s="264" t="s">
        <v>1420</v>
      </c>
      <c r="CY82" s="264">
        <v>1</v>
      </c>
      <c r="CZ82" s="264">
        <v>1</v>
      </c>
      <c r="DA82" s="264"/>
      <c r="DB82" s="264" t="s">
        <v>651</v>
      </c>
      <c r="DC82" s="264"/>
      <c r="DD82" s="264">
        <v>1</v>
      </c>
      <c r="DE82" s="264"/>
      <c r="DF82" s="264">
        <v>9</v>
      </c>
      <c r="DG82" s="264">
        <v>1</v>
      </c>
      <c r="DH82" s="264">
        <v>1</v>
      </c>
      <c r="DI82" s="264" t="s">
        <v>657</v>
      </c>
      <c r="DJ82" s="264"/>
      <c r="DK82" s="264"/>
      <c r="DL82" s="264"/>
      <c r="DM82" s="264"/>
      <c r="DN82" s="264">
        <v>2</v>
      </c>
      <c r="DO82" s="264">
        <v>1</v>
      </c>
      <c r="DP82" s="264"/>
      <c r="DQ82" s="264" t="s">
        <v>651</v>
      </c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 t="s">
        <v>649</v>
      </c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 t="s">
        <v>652</v>
      </c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 t="s">
        <v>37</v>
      </c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 t="s">
        <v>653</v>
      </c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 t="s">
        <v>654</v>
      </c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 t="s">
        <v>649</v>
      </c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 t="s">
        <v>655</v>
      </c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 t="s">
        <v>37</v>
      </c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>
        <v>80</v>
      </c>
      <c r="D84" s="264"/>
      <c r="E84" s="264">
        <v>27</v>
      </c>
      <c r="F84" s="264"/>
      <c r="G84" s="264">
        <v>80</v>
      </c>
      <c r="H84" s="264"/>
      <c r="I84" s="264">
        <v>27</v>
      </c>
      <c r="J84" s="264"/>
      <c r="K84" s="264">
        <v>51</v>
      </c>
      <c r="L84" s="264"/>
      <c r="M84" s="264">
        <v>2</v>
      </c>
      <c r="N84" s="264" t="s">
        <v>707</v>
      </c>
      <c r="O84" s="264">
        <v>16</v>
      </c>
      <c r="P84" s="264"/>
      <c r="Q84" s="264">
        <v>9</v>
      </c>
      <c r="R84" s="264"/>
      <c r="S84" s="264">
        <v>6</v>
      </c>
      <c r="T84" s="264"/>
      <c r="U84" s="264" t="s">
        <v>676</v>
      </c>
      <c r="V84" s="264">
        <v>6</v>
      </c>
      <c r="W84" s="66">
        <v>43467</v>
      </c>
      <c r="X84" s="264">
        <v>28</v>
      </c>
      <c r="Y84" s="264"/>
      <c r="Z84" s="264">
        <v>9</v>
      </c>
      <c r="AA84" s="264"/>
      <c r="AB84" s="264">
        <v>14</v>
      </c>
      <c r="AC84" s="264" t="s">
        <v>1024</v>
      </c>
      <c r="AD84" s="264">
        <v>52</v>
      </c>
      <c r="AE84" s="264"/>
      <c r="AF84" s="264">
        <v>18</v>
      </c>
      <c r="AG84" s="264"/>
      <c r="AH84" s="264">
        <v>37</v>
      </c>
      <c r="AI84" s="264" t="s">
        <v>860</v>
      </c>
      <c r="AJ84" s="264">
        <v>7</v>
      </c>
      <c r="AK84" s="264"/>
      <c r="AL84" s="264"/>
      <c r="AM84" s="264"/>
      <c r="AN84" s="264">
        <v>35</v>
      </c>
      <c r="AO84" s="264"/>
      <c r="AP84" s="264" t="s">
        <v>976</v>
      </c>
      <c r="AQ84" s="264">
        <v>5</v>
      </c>
      <c r="AR84" s="264"/>
      <c r="AS84" s="264">
        <v>13</v>
      </c>
      <c r="AT84" s="264"/>
      <c r="AU84" s="66">
        <v>43540</v>
      </c>
      <c r="AV84" s="264">
        <v>10</v>
      </c>
      <c r="AW84" s="264"/>
      <c r="AX84" s="264"/>
      <c r="AY84" s="264"/>
      <c r="AZ84" s="264"/>
      <c r="BA84" s="264">
        <v>14</v>
      </c>
      <c r="BB84" s="264"/>
      <c r="BC84" s="264" t="s">
        <v>780</v>
      </c>
      <c r="BD84" s="264">
        <v>3</v>
      </c>
      <c r="BE84" s="264"/>
      <c r="BF84" s="66">
        <v>43476</v>
      </c>
      <c r="BG84" s="264">
        <v>17</v>
      </c>
      <c r="BH84" s="264"/>
      <c r="BI84" s="264" t="s">
        <v>945</v>
      </c>
      <c r="BJ84" s="264">
        <v>1</v>
      </c>
      <c r="BK84" s="264"/>
      <c r="BL84" s="66">
        <v>43649</v>
      </c>
      <c r="BM84" s="264"/>
      <c r="BN84" s="264"/>
      <c r="BO84" s="264">
        <v>1</v>
      </c>
      <c r="BP84" s="264"/>
      <c r="BQ84" s="264"/>
      <c r="BR84" s="264"/>
      <c r="BS84" s="264"/>
      <c r="BT84" s="264"/>
      <c r="BU84" s="264"/>
      <c r="BV84" s="264"/>
      <c r="BW84" s="264"/>
      <c r="BX84" s="264">
        <v>1</v>
      </c>
      <c r="BY84" s="264">
        <v>1</v>
      </c>
      <c r="BZ84" s="264"/>
      <c r="CA84" s="264" t="s">
        <v>651</v>
      </c>
      <c r="CB84" s="264"/>
      <c r="CC84" s="264"/>
      <c r="CD84" s="264"/>
      <c r="CE84" s="264"/>
      <c r="CF84" s="264"/>
      <c r="CG84" s="264"/>
      <c r="CH84" s="264"/>
      <c r="CI84" s="264"/>
      <c r="CJ84" s="264">
        <v>1</v>
      </c>
      <c r="CK84" s="264"/>
      <c r="CL84" s="264">
        <v>3</v>
      </c>
      <c r="CM84" s="264"/>
      <c r="CN84" s="264"/>
      <c r="CO84" s="264"/>
      <c r="CP84" s="264"/>
      <c r="CQ84" s="264"/>
      <c r="CR84" s="264"/>
      <c r="CS84" s="264">
        <v>1</v>
      </c>
      <c r="CT84" s="264"/>
      <c r="CU84" s="264">
        <v>30</v>
      </c>
      <c r="CV84" s="264">
        <v>11</v>
      </c>
      <c r="CW84" s="264">
        <v>34</v>
      </c>
      <c r="CX84" s="66">
        <v>43579</v>
      </c>
      <c r="CY84" s="264"/>
      <c r="CZ84" s="264">
        <v>1</v>
      </c>
      <c r="DA84" s="264"/>
      <c r="DB84" s="264" t="s">
        <v>651</v>
      </c>
      <c r="DC84" s="264"/>
      <c r="DD84" s="264">
        <v>1</v>
      </c>
      <c r="DE84" s="264"/>
      <c r="DF84" s="264">
        <v>23</v>
      </c>
      <c r="DG84" s="264">
        <v>4</v>
      </c>
      <c r="DH84" s="264">
        <v>5</v>
      </c>
      <c r="DI84" s="264" t="s">
        <v>726</v>
      </c>
      <c r="DJ84" s="264"/>
      <c r="DK84" s="264"/>
      <c r="DL84" s="264">
        <v>1</v>
      </c>
      <c r="DM84" s="264"/>
      <c r="DN84" s="264"/>
      <c r="DO84" s="264"/>
      <c r="DP84" s="264"/>
      <c r="DQ84" s="264"/>
      <c r="DR84" s="264">
        <v>5</v>
      </c>
      <c r="DS84" s="264"/>
      <c r="DT84" s="264">
        <v>4</v>
      </c>
      <c r="DU84" s="264"/>
      <c r="DV84" s="264">
        <v>4</v>
      </c>
      <c r="DW84" s="264"/>
      <c r="DX84" s="264">
        <v>4</v>
      </c>
      <c r="DY84" s="264"/>
      <c r="DZ84" s="264">
        <v>4</v>
      </c>
      <c r="EA84" s="264"/>
      <c r="EB84" s="264">
        <v>4</v>
      </c>
      <c r="EC84" s="264"/>
      <c r="ED84" s="264"/>
      <c r="EE84" s="264">
        <v>1</v>
      </c>
      <c r="EF84" s="264"/>
      <c r="EG84" s="264"/>
      <c r="EH84" s="264"/>
      <c r="EI84" s="264">
        <v>1</v>
      </c>
      <c r="EJ84" s="264"/>
      <c r="EK84" s="264"/>
      <c r="EL84" s="264"/>
      <c r="EM84" s="264"/>
      <c r="EN84" s="264"/>
      <c r="EO84" s="264"/>
      <c r="EP84" s="264"/>
      <c r="EQ84" s="264">
        <v>1</v>
      </c>
      <c r="ER84" s="264"/>
      <c r="ES84" s="264"/>
      <c r="ET84" s="264"/>
      <c r="EU84" s="264">
        <v>1</v>
      </c>
    </row>
    <row r="85" spans="1:151">
      <c r="A85" s="259"/>
      <c r="B85" s="264" t="s">
        <v>1171</v>
      </c>
      <c r="C85" s="264">
        <v>101</v>
      </c>
      <c r="D85" s="66">
        <v>43522</v>
      </c>
      <c r="E85" s="264">
        <v>32</v>
      </c>
      <c r="F85" s="66">
        <v>43603</v>
      </c>
      <c r="G85" s="264">
        <v>101</v>
      </c>
      <c r="H85" s="66">
        <v>43522</v>
      </c>
      <c r="I85" s="264">
        <v>32</v>
      </c>
      <c r="J85" s="66">
        <v>43603</v>
      </c>
      <c r="K85" s="264">
        <v>61</v>
      </c>
      <c r="L85" s="66">
        <v>43635</v>
      </c>
      <c r="M85" s="264">
        <v>4</v>
      </c>
      <c r="N85" s="264" t="s">
        <v>1334</v>
      </c>
      <c r="O85" s="264">
        <v>24</v>
      </c>
      <c r="P85" s="264" t="s">
        <v>657</v>
      </c>
      <c r="Q85" s="264">
        <v>2</v>
      </c>
      <c r="R85" s="264" t="s">
        <v>979</v>
      </c>
      <c r="S85" s="264">
        <v>11</v>
      </c>
      <c r="T85" s="264" t="s">
        <v>674</v>
      </c>
      <c r="U85" s="66">
        <v>43570</v>
      </c>
      <c r="V85" s="264">
        <v>2</v>
      </c>
      <c r="W85" s="264" t="s">
        <v>1336</v>
      </c>
      <c r="X85" s="264">
        <v>25</v>
      </c>
      <c r="Y85" s="264" t="s">
        <v>1123</v>
      </c>
      <c r="Z85" s="264">
        <v>18</v>
      </c>
      <c r="AA85" s="264" t="s">
        <v>651</v>
      </c>
      <c r="AB85" s="264">
        <v>12</v>
      </c>
      <c r="AC85" s="264" t="s">
        <v>676</v>
      </c>
      <c r="AD85" s="264">
        <v>76</v>
      </c>
      <c r="AE85" s="264" t="s">
        <v>815</v>
      </c>
      <c r="AF85" s="264">
        <v>14</v>
      </c>
      <c r="AG85" s="264" t="s">
        <v>782</v>
      </c>
      <c r="AH85" s="264">
        <v>49</v>
      </c>
      <c r="AI85" s="66">
        <v>43518</v>
      </c>
      <c r="AJ85" s="264">
        <v>15</v>
      </c>
      <c r="AK85" s="264" t="s">
        <v>1340</v>
      </c>
      <c r="AL85" s="264">
        <v>1</v>
      </c>
      <c r="AM85" s="264" t="s">
        <v>651</v>
      </c>
      <c r="AN85" s="264">
        <v>40</v>
      </c>
      <c r="AO85" s="66">
        <v>43538</v>
      </c>
      <c r="AP85" s="264" t="s">
        <v>1167</v>
      </c>
      <c r="AQ85" s="264">
        <v>6</v>
      </c>
      <c r="AR85" s="264" t="s">
        <v>690</v>
      </c>
      <c r="AS85" s="264">
        <v>17</v>
      </c>
      <c r="AT85" s="66">
        <v>43707</v>
      </c>
      <c r="AU85" s="66">
        <v>43693</v>
      </c>
      <c r="AV85" s="264">
        <v>10</v>
      </c>
      <c r="AW85" s="264"/>
      <c r="AX85" s="264"/>
      <c r="AY85" s="264"/>
      <c r="AZ85" s="264"/>
      <c r="BA85" s="264">
        <v>23</v>
      </c>
      <c r="BB85" s="264" t="s">
        <v>763</v>
      </c>
      <c r="BC85" s="264" t="s">
        <v>1064</v>
      </c>
      <c r="BD85" s="264"/>
      <c r="BE85" s="264" t="s">
        <v>650</v>
      </c>
      <c r="BF85" s="264"/>
      <c r="BG85" s="264">
        <v>18</v>
      </c>
      <c r="BH85" s="66">
        <v>43713</v>
      </c>
      <c r="BI85" s="264" t="s">
        <v>1048</v>
      </c>
      <c r="BJ85" s="264"/>
      <c r="BK85" s="264" t="s">
        <v>650</v>
      </c>
      <c r="BL85" s="264"/>
      <c r="BM85" s="264"/>
      <c r="BN85" s="264"/>
      <c r="BO85" s="264"/>
      <c r="BP85" s="264">
        <v>1</v>
      </c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>
        <v>2</v>
      </c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>
        <v>45</v>
      </c>
      <c r="CV85" s="264">
        <v>17</v>
      </c>
      <c r="CW85" s="264">
        <v>46</v>
      </c>
      <c r="CX85" s="264" t="s">
        <v>941</v>
      </c>
      <c r="CY85" s="264"/>
      <c r="CZ85" s="264"/>
      <c r="DA85" s="264"/>
      <c r="DB85" s="264"/>
      <c r="DC85" s="264"/>
      <c r="DD85" s="264"/>
      <c r="DE85" s="264"/>
      <c r="DF85" s="264">
        <v>22</v>
      </c>
      <c r="DG85" s="264">
        <v>2</v>
      </c>
      <c r="DH85" s="264">
        <v>7</v>
      </c>
      <c r="DI85" s="66">
        <v>43518</v>
      </c>
      <c r="DJ85" s="264">
        <v>1</v>
      </c>
      <c r="DK85" s="264"/>
      <c r="DL85" s="264">
        <v>1</v>
      </c>
      <c r="DM85" s="264"/>
      <c r="DN85" s="264">
        <v>1</v>
      </c>
      <c r="DO85" s="264">
        <v>1</v>
      </c>
      <c r="DP85" s="264"/>
      <c r="DQ85" s="264" t="s">
        <v>651</v>
      </c>
      <c r="DR85" s="264">
        <v>6</v>
      </c>
      <c r="DS85" s="264" t="s">
        <v>690</v>
      </c>
      <c r="DT85" s="264">
        <v>6</v>
      </c>
      <c r="DU85" s="264" t="s">
        <v>657</v>
      </c>
      <c r="DV85" s="264">
        <v>5</v>
      </c>
      <c r="DW85" s="264" t="s">
        <v>688</v>
      </c>
      <c r="DX85" s="264">
        <v>1</v>
      </c>
      <c r="DY85" s="264" t="s">
        <v>728</v>
      </c>
      <c r="DZ85" s="264">
        <v>1</v>
      </c>
      <c r="EA85" s="264" t="s">
        <v>728</v>
      </c>
      <c r="EB85" s="264">
        <v>1</v>
      </c>
      <c r="EC85" s="264" t="s">
        <v>728</v>
      </c>
      <c r="ED85" s="264"/>
      <c r="EE85" s="264">
        <v>2</v>
      </c>
      <c r="EF85" s="264"/>
      <c r="EG85" s="264"/>
      <c r="EH85" s="264"/>
      <c r="EI85" s="264">
        <v>2</v>
      </c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 t="s">
        <v>649</v>
      </c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 t="s">
        <v>652</v>
      </c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 t="s">
        <v>37</v>
      </c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 t="s">
        <v>653</v>
      </c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 t="s">
        <v>654</v>
      </c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 t="s">
        <v>649</v>
      </c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 t="s">
        <v>655</v>
      </c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 t="s">
        <v>37</v>
      </c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>
        <v>105</v>
      </c>
      <c r="D87" s="264"/>
      <c r="E87" s="264">
        <v>15</v>
      </c>
      <c r="F87" s="264"/>
      <c r="G87" s="264">
        <v>105</v>
      </c>
      <c r="H87" s="264"/>
      <c r="I87" s="264">
        <v>15</v>
      </c>
      <c r="J87" s="264"/>
      <c r="K87" s="264">
        <v>47</v>
      </c>
      <c r="L87" s="264"/>
      <c r="M87" s="264"/>
      <c r="N87" s="66">
        <v>43520</v>
      </c>
      <c r="O87" s="264">
        <v>11</v>
      </c>
      <c r="P87" s="264"/>
      <c r="Q87" s="264">
        <v>1</v>
      </c>
      <c r="R87" s="264"/>
      <c r="S87" s="264">
        <v>10</v>
      </c>
      <c r="T87" s="264"/>
      <c r="U87" s="66">
        <v>43474</v>
      </c>
      <c r="V87" s="264">
        <v>7</v>
      </c>
      <c r="W87" s="66">
        <v>43648</v>
      </c>
      <c r="X87" s="264">
        <v>26</v>
      </c>
      <c r="Y87" s="264"/>
      <c r="Z87" s="264">
        <v>14</v>
      </c>
      <c r="AA87" s="264"/>
      <c r="AB87" s="264">
        <v>13</v>
      </c>
      <c r="AC87" s="264" t="s">
        <v>780</v>
      </c>
      <c r="AD87" s="264">
        <v>79</v>
      </c>
      <c r="AE87" s="264"/>
      <c r="AF87" s="264">
        <v>1</v>
      </c>
      <c r="AG87" s="264"/>
      <c r="AH87" s="264">
        <v>34</v>
      </c>
      <c r="AI87" s="66">
        <v>43710</v>
      </c>
      <c r="AJ87" s="264">
        <v>6</v>
      </c>
      <c r="AK87" s="264"/>
      <c r="AL87" s="264"/>
      <c r="AM87" s="264"/>
      <c r="AN87" s="264">
        <v>43</v>
      </c>
      <c r="AO87" s="264"/>
      <c r="AP87" s="264" t="s">
        <v>906</v>
      </c>
      <c r="AQ87" s="264">
        <v>3</v>
      </c>
      <c r="AR87" s="264"/>
      <c r="AS87" s="264">
        <v>25</v>
      </c>
      <c r="AT87" s="264"/>
      <c r="AU87" s="66">
        <v>43700</v>
      </c>
      <c r="AV87" s="264">
        <v>9</v>
      </c>
      <c r="AW87" s="264"/>
      <c r="AX87" s="264"/>
      <c r="AY87" s="264"/>
      <c r="AZ87" s="264"/>
      <c r="BA87" s="264">
        <v>7</v>
      </c>
      <c r="BB87" s="264"/>
      <c r="BC87" s="264" t="s">
        <v>781</v>
      </c>
      <c r="BD87" s="264">
        <v>6</v>
      </c>
      <c r="BE87" s="264"/>
      <c r="BF87" s="264" t="s">
        <v>696</v>
      </c>
      <c r="BG87" s="264">
        <v>8</v>
      </c>
      <c r="BH87" s="264"/>
      <c r="BI87" s="264" t="s">
        <v>694</v>
      </c>
      <c r="BJ87" s="264">
        <v>1</v>
      </c>
      <c r="BK87" s="264"/>
      <c r="BL87" s="66">
        <v>43652</v>
      </c>
      <c r="BM87" s="264"/>
      <c r="BN87" s="264"/>
      <c r="BO87" s="264">
        <v>1</v>
      </c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>
        <v>1</v>
      </c>
      <c r="CA87" s="264"/>
      <c r="CB87" s="264"/>
      <c r="CC87" s="264"/>
      <c r="CD87" s="264"/>
      <c r="CE87" s="264"/>
      <c r="CF87" s="264"/>
      <c r="CG87" s="264"/>
      <c r="CH87" s="264"/>
      <c r="CI87" s="264"/>
      <c r="CJ87" s="264">
        <v>1</v>
      </c>
      <c r="CK87" s="264">
        <v>1</v>
      </c>
      <c r="CL87" s="264"/>
      <c r="CM87" s="264" t="s">
        <v>651</v>
      </c>
      <c r="CN87" s="264"/>
      <c r="CO87" s="264"/>
      <c r="CP87" s="264"/>
      <c r="CQ87" s="264"/>
      <c r="CR87" s="264"/>
      <c r="CS87" s="264"/>
      <c r="CT87" s="264"/>
      <c r="CU87" s="264">
        <v>36</v>
      </c>
      <c r="CV87" s="264">
        <v>2</v>
      </c>
      <c r="CW87" s="264">
        <v>36</v>
      </c>
      <c r="CX87" s="66">
        <v>43529</v>
      </c>
      <c r="CY87" s="264"/>
      <c r="CZ87" s="264"/>
      <c r="DA87" s="264">
        <v>1</v>
      </c>
      <c r="DB87" s="264"/>
      <c r="DC87" s="264"/>
      <c r="DD87" s="264"/>
      <c r="DE87" s="264"/>
      <c r="DF87" s="264">
        <v>44</v>
      </c>
      <c r="DG87" s="264"/>
      <c r="DH87" s="264">
        <v>1</v>
      </c>
      <c r="DI87" s="264"/>
      <c r="DJ87" s="264">
        <v>2</v>
      </c>
      <c r="DK87" s="264"/>
      <c r="DL87" s="264"/>
      <c r="DM87" s="264"/>
      <c r="DN87" s="264"/>
      <c r="DO87" s="264"/>
      <c r="DP87" s="264"/>
      <c r="DQ87" s="264"/>
      <c r="DR87" s="264">
        <v>33</v>
      </c>
      <c r="DS87" s="264"/>
      <c r="DT87" s="264">
        <v>33</v>
      </c>
      <c r="DU87" s="264"/>
      <c r="DV87" s="264">
        <v>1</v>
      </c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>
        <v>84</v>
      </c>
      <c r="D88" s="264" t="s">
        <v>669</v>
      </c>
      <c r="E88" s="264">
        <v>25</v>
      </c>
      <c r="F88" s="264" t="s">
        <v>667</v>
      </c>
      <c r="G88" s="264">
        <v>84</v>
      </c>
      <c r="H88" s="264" t="s">
        <v>669</v>
      </c>
      <c r="I88" s="264">
        <v>25</v>
      </c>
      <c r="J88" s="264" t="s">
        <v>667</v>
      </c>
      <c r="K88" s="264">
        <v>58</v>
      </c>
      <c r="L88" s="66">
        <v>43578</v>
      </c>
      <c r="M88" s="264"/>
      <c r="N88" s="66">
        <v>43495</v>
      </c>
      <c r="O88" s="264">
        <v>16</v>
      </c>
      <c r="P88" s="264" t="s">
        <v>801</v>
      </c>
      <c r="Q88" s="264">
        <v>3</v>
      </c>
      <c r="R88" s="264" t="s">
        <v>697</v>
      </c>
      <c r="S88" s="264">
        <v>9</v>
      </c>
      <c r="T88" s="264" t="s">
        <v>758</v>
      </c>
      <c r="U88" s="264" t="s">
        <v>688</v>
      </c>
      <c r="V88" s="264">
        <v>16</v>
      </c>
      <c r="W88" s="66">
        <v>43591</v>
      </c>
      <c r="X88" s="264">
        <v>29</v>
      </c>
      <c r="Y88" s="66">
        <v>43596</v>
      </c>
      <c r="Z88" s="264">
        <v>16</v>
      </c>
      <c r="AA88" s="66">
        <v>43538</v>
      </c>
      <c r="AB88" s="264">
        <v>7</v>
      </c>
      <c r="AC88" s="264" t="s">
        <v>1372</v>
      </c>
      <c r="AD88" s="264">
        <v>55</v>
      </c>
      <c r="AE88" s="264" t="s">
        <v>662</v>
      </c>
      <c r="AF88" s="264">
        <v>9</v>
      </c>
      <c r="AG88" s="264" t="s">
        <v>732</v>
      </c>
      <c r="AH88" s="264">
        <v>51</v>
      </c>
      <c r="AI88" s="264" t="s">
        <v>949</v>
      </c>
      <c r="AJ88" s="264">
        <v>4</v>
      </c>
      <c r="AK88" s="264" t="s">
        <v>677</v>
      </c>
      <c r="AL88" s="264"/>
      <c r="AM88" s="264"/>
      <c r="AN88" s="264">
        <v>38</v>
      </c>
      <c r="AO88" s="264" t="s">
        <v>1296</v>
      </c>
      <c r="AP88" s="264" t="s">
        <v>1327</v>
      </c>
      <c r="AQ88" s="264">
        <v>6</v>
      </c>
      <c r="AR88" s="264" t="s">
        <v>651</v>
      </c>
      <c r="AS88" s="264">
        <v>19</v>
      </c>
      <c r="AT88" s="264" t="s">
        <v>1318</v>
      </c>
      <c r="AU88" s="66">
        <v>43638</v>
      </c>
      <c r="AV88" s="264">
        <v>5</v>
      </c>
      <c r="AW88" s="264" t="s">
        <v>754</v>
      </c>
      <c r="AX88" s="264">
        <v>3</v>
      </c>
      <c r="AY88" s="264" t="s">
        <v>651</v>
      </c>
      <c r="AZ88" s="264" t="s">
        <v>1121</v>
      </c>
      <c r="BA88" s="264">
        <v>12</v>
      </c>
      <c r="BB88" s="264" t="s">
        <v>837</v>
      </c>
      <c r="BC88" s="264" t="s">
        <v>946</v>
      </c>
      <c r="BD88" s="264">
        <v>6</v>
      </c>
      <c r="BE88" s="264"/>
      <c r="BF88" s="264" t="s">
        <v>960</v>
      </c>
      <c r="BG88" s="264">
        <v>16</v>
      </c>
      <c r="BH88" s="264" t="s">
        <v>651</v>
      </c>
      <c r="BI88" s="264" t="s">
        <v>1373</v>
      </c>
      <c r="BJ88" s="264"/>
      <c r="BK88" s="264" t="s">
        <v>650</v>
      </c>
      <c r="BL88" s="264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>
        <v>1</v>
      </c>
      <c r="CH88" s="264"/>
      <c r="CI88" s="264" t="s">
        <v>651</v>
      </c>
      <c r="CJ88" s="264">
        <v>6</v>
      </c>
      <c r="CK88" s="264">
        <v>2</v>
      </c>
      <c r="CL88" s="264">
        <v>2</v>
      </c>
      <c r="CM88" s="264" t="s">
        <v>657</v>
      </c>
      <c r="CN88" s="264"/>
      <c r="CO88" s="264"/>
      <c r="CP88" s="264"/>
      <c r="CQ88" s="264"/>
      <c r="CR88" s="264"/>
      <c r="CS88" s="264"/>
      <c r="CT88" s="264"/>
      <c r="CU88" s="264">
        <v>47</v>
      </c>
      <c r="CV88" s="264">
        <v>10</v>
      </c>
      <c r="CW88" s="264">
        <v>41</v>
      </c>
      <c r="CX88" s="66">
        <v>43635</v>
      </c>
      <c r="CY88" s="264">
        <v>1</v>
      </c>
      <c r="CZ88" s="264"/>
      <c r="DA88" s="264">
        <v>1</v>
      </c>
      <c r="DB88" s="264"/>
      <c r="DC88" s="264"/>
      <c r="DD88" s="264"/>
      <c r="DE88" s="264"/>
      <c r="DF88" s="264">
        <v>14</v>
      </c>
      <c r="DG88" s="264">
        <v>1</v>
      </c>
      <c r="DH88" s="264">
        <v>12</v>
      </c>
      <c r="DI88" s="66">
        <v>43653</v>
      </c>
      <c r="DJ88" s="264">
        <v>1</v>
      </c>
      <c r="DK88" s="264"/>
      <c r="DL88" s="264"/>
      <c r="DM88" s="264"/>
      <c r="DN88" s="264">
        <v>1</v>
      </c>
      <c r="DO88" s="264"/>
      <c r="DP88" s="264"/>
      <c r="DQ88" s="264"/>
      <c r="DR88" s="264">
        <v>2</v>
      </c>
      <c r="DS88" s="264" t="s">
        <v>1472</v>
      </c>
      <c r="DT88" s="264">
        <v>2</v>
      </c>
      <c r="DU88" s="264" t="s">
        <v>1472</v>
      </c>
      <c r="DV88" s="264">
        <v>1</v>
      </c>
      <c r="DW88" s="264"/>
      <c r="DX88" s="264"/>
      <c r="DY88" s="264"/>
      <c r="DZ88" s="264"/>
      <c r="EA88" s="264"/>
      <c r="EB88" s="264"/>
      <c r="EC88" s="264"/>
      <c r="ED88" s="264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 t="s">
        <v>649</v>
      </c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 t="s">
        <v>652</v>
      </c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 t="s">
        <v>37</v>
      </c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 t="s">
        <v>653</v>
      </c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 t="s">
        <v>654</v>
      </c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 t="s">
        <v>649</v>
      </c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 t="s">
        <v>655</v>
      </c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 t="s">
        <v>37</v>
      </c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>
        <v>58</v>
      </c>
      <c r="D90" s="264"/>
      <c r="E90" s="264">
        <v>21</v>
      </c>
      <c r="F90" s="264"/>
      <c r="G90" s="264">
        <v>58</v>
      </c>
      <c r="H90" s="264"/>
      <c r="I90" s="264">
        <v>21</v>
      </c>
      <c r="J90" s="264"/>
      <c r="K90" s="264">
        <v>37</v>
      </c>
      <c r="L90" s="264"/>
      <c r="M90" s="264"/>
      <c r="N90" s="264" t="s">
        <v>934</v>
      </c>
      <c r="O90" s="264">
        <v>13</v>
      </c>
      <c r="P90" s="264"/>
      <c r="Q90" s="264">
        <v>8</v>
      </c>
      <c r="R90" s="264"/>
      <c r="S90" s="264">
        <v>8</v>
      </c>
      <c r="T90" s="264"/>
      <c r="U90" s="264" t="s">
        <v>657</v>
      </c>
      <c r="V90" s="264"/>
      <c r="W90" s="264"/>
      <c r="X90" s="264">
        <v>20</v>
      </c>
      <c r="Y90" s="264"/>
      <c r="Z90" s="264">
        <v>13</v>
      </c>
      <c r="AA90" s="264"/>
      <c r="AB90" s="264">
        <v>8</v>
      </c>
      <c r="AC90" s="264" t="s">
        <v>709</v>
      </c>
      <c r="AD90" s="264">
        <v>38</v>
      </c>
      <c r="AE90" s="264"/>
      <c r="AF90" s="264">
        <v>8</v>
      </c>
      <c r="AG90" s="264"/>
      <c r="AH90" s="264">
        <v>29</v>
      </c>
      <c r="AI90" s="66">
        <v>43637</v>
      </c>
      <c r="AJ90" s="264">
        <v>7</v>
      </c>
      <c r="AK90" s="264"/>
      <c r="AL90" s="264"/>
      <c r="AM90" s="264"/>
      <c r="AN90" s="264">
        <v>23</v>
      </c>
      <c r="AO90" s="264"/>
      <c r="AP90" s="264" t="s">
        <v>963</v>
      </c>
      <c r="AQ90" s="264">
        <v>6</v>
      </c>
      <c r="AR90" s="264"/>
      <c r="AS90" s="264">
        <v>18</v>
      </c>
      <c r="AT90" s="264"/>
      <c r="AU90" s="264" t="s">
        <v>948</v>
      </c>
      <c r="AV90" s="264">
        <v>6</v>
      </c>
      <c r="AW90" s="264"/>
      <c r="AX90" s="264">
        <v>1</v>
      </c>
      <c r="AY90" s="264"/>
      <c r="AZ90" s="66">
        <v>43681</v>
      </c>
      <c r="BA90" s="264">
        <v>6</v>
      </c>
      <c r="BB90" s="264"/>
      <c r="BC90" s="66">
        <v>43644</v>
      </c>
      <c r="BD90" s="264">
        <v>7</v>
      </c>
      <c r="BE90" s="264"/>
      <c r="BF90" s="264" t="s">
        <v>714</v>
      </c>
      <c r="BG90" s="264">
        <v>13</v>
      </c>
      <c r="BH90" s="264"/>
      <c r="BI90" s="264" t="s">
        <v>709</v>
      </c>
      <c r="BJ90" s="264"/>
      <c r="BK90" s="264"/>
      <c r="BL90" s="264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>
        <v>1</v>
      </c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>
        <v>1</v>
      </c>
      <c r="CK90" s="264">
        <v>3</v>
      </c>
      <c r="CL90" s="264"/>
      <c r="CM90" s="264" t="s">
        <v>651</v>
      </c>
      <c r="CN90" s="264"/>
      <c r="CO90" s="264"/>
      <c r="CP90" s="264"/>
      <c r="CQ90" s="264">
        <v>2</v>
      </c>
      <c r="CR90" s="264"/>
      <c r="CS90" s="264"/>
      <c r="CT90" s="264"/>
      <c r="CU90" s="264">
        <v>28</v>
      </c>
      <c r="CV90" s="264">
        <v>2</v>
      </c>
      <c r="CW90" s="264">
        <v>20</v>
      </c>
      <c r="CX90" s="66">
        <v>43474</v>
      </c>
      <c r="CY90" s="264"/>
      <c r="CZ90" s="264"/>
      <c r="DA90" s="264"/>
      <c r="DB90" s="264"/>
      <c r="DC90" s="264"/>
      <c r="DD90" s="264"/>
      <c r="DE90" s="264"/>
      <c r="DF90" s="264">
        <v>7</v>
      </c>
      <c r="DG90" s="264">
        <v>1</v>
      </c>
      <c r="DH90" s="264">
        <v>9</v>
      </c>
      <c r="DI90" s="264" t="s">
        <v>704</v>
      </c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>
        <v>1</v>
      </c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>
        <v>46</v>
      </c>
      <c r="D91" s="264" t="s">
        <v>997</v>
      </c>
      <c r="E91" s="264">
        <v>23</v>
      </c>
      <c r="F91" s="66">
        <v>43594</v>
      </c>
      <c r="G91" s="264">
        <v>46</v>
      </c>
      <c r="H91" s="264" t="s">
        <v>997</v>
      </c>
      <c r="I91" s="264">
        <v>23</v>
      </c>
      <c r="J91" s="66">
        <v>43594</v>
      </c>
      <c r="K91" s="264">
        <v>36</v>
      </c>
      <c r="L91" s="264" t="s">
        <v>1369</v>
      </c>
      <c r="M91" s="264"/>
      <c r="N91" s="264" t="s">
        <v>953</v>
      </c>
      <c r="O91" s="264">
        <v>8</v>
      </c>
      <c r="P91" s="264" t="s">
        <v>698</v>
      </c>
      <c r="Q91" s="264">
        <v>3</v>
      </c>
      <c r="R91" s="264" t="s">
        <v>812</v>
      </c>
      <c r="S91" s="264">
        <v>9</v>
      </c>
      <c r="T91" s="66">
        <v>43597</v>
      </c>
      <c r="U91" s="264" t="s">
        <v>688</v>
      </c>
      <c r="V91" s="264"/>
      <c r="W91" s="264"/>
      <c r="X91" s="264">
        <v>20</v>
      </c>
      <c r="Y91" s="264"/>
      <c r="Z91" s="264">
        <v>15</v>
      </c>
      <c r="AA91" s="66">
        <v>43570</v>
      </c>
      <c r="AB91" s="264">
        <v>9</v>
      </c>
      <c r="AC91" s="264" t="s">
        <v>713</v>
      </c>
      <c r="AD91" s="264">
        <v>26</v>
      </c>
      <c r="AE91" s="264" t="s">
        <v>968</v>
      </c>
      <c r="AF91" s="264">
        <v>8</v>
      </c>
      <c r="AG91" s="264"/>
      <c r="AH91" s="264">
        <v>27</v>
      </c>
      <c r="AI91" s="66">
        <v>43730</v>
      </c>
      <c r="AJ91" s="264">
        <v>7</v>
      </c>
      <c r="AK91" s="264"/>
      <c r="AL91" s="264"/>
      <c r="AM91" s="264"/>
      <c r="AN91" s="264">
        <v>14</v>
      </c>
      <c r="AO91" s="264" t="s">
        <v>952</v>
      </c>
      <c r="AP91" s="66">
        <v>43585</v>
      </c>
      <c r="AQ91" s="264">
        <v>1</v>
      </c>
      <c r="AR91" s="264" t="s">
        <v>847</v>
      </c>
      <c r="AS91" s="264">
        <v>13</v>
      </c>
      <c r="AT91" s="264" t="s">
        <v>865</v>
      </c>
      <c r="AU91" s="66">
        <v>43552</v>
      </c>
      <c r="AV91" s="264">
        <v>1</v>
      </c>
      <c r="AW91" s="264" t="s">
        <v>847</v>
      </c>
      <c r="AX91" s="264"/>
      <c r="AY91" s="264" t="s">
        <v>650</v>
      </c>
      <c r="AZ91" s="264"/>
      <c r="BA91" s="264">
        <v>17</v>
      </c>
      <c r="BB91" s="264" t="s">
        <v>1302</v>
      </c>
      <c r="BC91" s="264" t="s">
        <v>1282</v>
      </c>
      <c r="BD91" s="264">
        <v>9</v>
      </c>
      <c r="BE91" s="66">
        <v>43644</v>
      </c>
      <c r="BF91" s="264" t="s">
        <v>1024</v>
      </c>
      <c r="BG91" s="264">
        <v>19</v>
      </c>
      <c r="BH91" s="264" t="s">
        <v>815</v>
      </c>
      <c r="BI91" s="264" t="s">
        <v>986</v>
      </c>
      <c r="BJ91" s="264">
        <v>1</v>
      </c>
      <c r="BK91" s="264" t="s">
        <v>651</v>
      </c>
      <c r="BL91" s="66">
        <v>43528</v>
      </c>
      <c r="BM91" s="264"/>
      <c r="BN91" s="264"/>
      <c r="BO91" s="264">
        <v>1</v>
      </c>
      <c r="BP91" s="264"/>
      <c r="BQ91" s="264"/>
      <c r="BR91" s="264"/>
      <c r="BS91" s="264"/>
      <c r="BT91" s="264"/>
      <c r="BU91" s="264"/>
      <c r="BV91" s="264"/>
      <c r="BW91" s="264"/>
      <c r="BX91" s="264">
        <v>2</v>
      </c>
      <c r="BY91" s="264">
        <v>1</v>
      </c>
      <c r="BZ91" s="264"/>
      <c r="CA91" s="264" t="s">
        <v>651</v>
      </c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>
        <v>1</v>
      </c>
      <c r="CM91" s="264"/>
      <c r="CN91" s="264"/>
      <c r="CO91" s="264"/>
      <c r="CP91" s="264"/>
      <c r="CQ91" s="264"/>
      <c r="CR91" s="264"/>
      <c r="CS91" s="264"/>
      <c r="CT91" s="264"/>
      <c r="CU91" s="264">
        <v>19</v>
      </c>
      <c r="CV91" s="264">
        <v>11</v>
      </c>
      <c r="CW91" s="264">
        <v>18</v>
      </c>
      <c r="CX91" s="264" t="s">
        <v>1056</v>
      </c>
      <c r="CY91" s="264">
        <v>1</v>
      </c>
      <c r="CZ91" s="264"/>
      <c r="DA91" s="264"/>
      <c r="DB91" s="264"/>
      <c r="DC91" s="264"/>
      <c r="DD91" s="264"/>
      <c r="DE91" s="264"/>
      <c r="DF91" s="264">
        <v>10</v>
      </c>
      <c r="DG91" s="264">
        <v>2</v>
      </c>
      <c r="DH91" s="264">
        <v>10</v>
      </c>
      <c r="DI91" s="66">
        <v>43662</v>
      </c>
      <c r="DJ91" s="264">
        <v>1</v>
      </c>
      <c r="DK91" s="264"/>
      <c r="DL91" s="264"/>
      <c r="DM91" s="264"/>
      <c r="DN91" s="264">
        <v>1</v>
      </c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 t="s">
        <v>650</v>
      </c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 t="s">
        <v>649</v>
      </c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 t="s">
        <v>652</v>
      </c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 t="s">
        <v>37</v>
      </c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 t="s">
        <v>653</v>
      </c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 t="s">
        <v>654</v>
      </c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 t="s">
        <v>649</v>
      </c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 t="s">
        <v>655</v>
      </c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 t="s">
        <v>37</v>
      </c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>
        <v>64</v>
      </c>
      <c r="D93" s="264"/>
      <c r="E93" s="264">
        <v>14</v>
      </c>
      <c r="F93" s="264"/>
      <c r="G93" s="264">
        <v>64</v>
      </c>
      <c r="H93" s="264"/>
      <c r="I93" s="264">
        <v>14</v>
      </c>
      <c r="J93" s="264"/>
      <c r="K93" s="264">
        <v>39</v>
      </c>
      <c r="L93" s="264"/>
      <c r="M93" s="264"/>
      <c r="N93" s="66">
        <v>43581</v>
      </c>
      <c r="O93" s="264">
        <v>32</v>
      </c>
      <c r="P93" s="264"/>
      <c r="Q93" s="264">
        <v>7</v>
      </c>
      <c r="R93" s="264"/>
      <c r="S93" s="264">
        <v>8</v>
      </c>
      <c r="T93" s="264"/>
      <c r="U93" s="264" t="s">
        <v>781</v>
      </c>
      <c r="V93" s="264">
        <v>4</v>
      </c>
      <c r="W93" s="264" t="s">
        <v>765</v>
      </c>
      <c r="X93" s="264">
        <v>18</v>
      </c>
      <c r="Y93" s="264"/>
      <c r="Z93" s="264">
        <v>1</v>
      </c>
      <c r="AA93" s="264"/>
      <c r="AB93" s="264">
        <v>21</v>
      </c>
      <c r="AC93" s="66">
        <v>43589</v>
      </c>
      <c r="AD93" s="264">
        <v>46</v>
      </c>
      <c r="AE93" s="264"/>
      <c r="AF93" s="264">
        <v>13</v>
      </c>
      <c r="AG93" s="264"/>
      <c r="AH93" s="264">
        <v>18</v>
      </c>
      <c r="AI93" s="264" t="s">
        <v>996</v>
      </c>
      <c r="AJ93" s="264">
        <v>17</v>
      </c>
      <c r="AK93" s="264"/>
      <c r="AL93" s="264"/>
      <c r="AM93" s="264"/>
      <c r="AN93" s="264">
        <v>6</v>
      </c>
      <c r="AO93" s="264"/>
      <c r="AP93" s="66">
        <v>43564</v>
      </c>
      <c r="AQ93" s="264">
        <v>2</v>
      </c>
      <c r="AR93" s="264"/>
      <c r="AS93" s="264">
        <v>2</v>
      </c>
      <c r="AT93" s="264"/>
      <c r="AU93" s="66">
        <v>43468</v>
      </c>
      <c r="AV93" s="264">
        <v>10</v>
      </c>
      <c r="AW93" s="264"/>
      <c r="AX93" s="264"/>
      <c r="AY93" s="264"/>
      <c r="AZ93" s="264"/>
      <c r="BA93" s="264">
        <v>7</v>
      </c>
      <c r="BB93" s="264"/>
      <c r="BC93" s="264" t="s">
        <v>657</v>
      </c>
      <c r="BD93" s="264">
        <v>2</v>
      </c>
      <c r="BE93" s="264"/>
      <c r="BF93" s="66">
        <v>43538</v>
      </c>
      <c r="BG93" s="264">
        <v>5</v>
      </c>
      <c r="BH93" s="264"/>
      <c r="BI93" s="264" t="s">
        <v>956</v>
      </c>
      <c r="BJ93" s="264">
        <v>7</v>
      </c>
      <c r="BK93" s="264"/>
      <c r="BL93" s="264" t="s">
        <v>657</v>
      </c>
      <c r="BM93" s="264">
        <v>1</v>
      </c>
      <c r="BN93" s="66">
        <v>43538</v>
      </c>
      <c r="BO93" s="264">
        <v>6</v>
      </c>
      <c r="BP93" s="264">
        <v>1</v>
      </c>
      <c r="BQ93" s="264"/>
      <c r="BR93" s="264"/>
      <c r="BS93" s="264"/>
      <c r="BT93" s="264"/>
      <c r="BU93" s="264"/>
      <c r="BV93" s="264"/>
      <c r="BW93" s="264"/>
      <c r="BX93" s="264"/>
      <c r="BY93" s="264">
        <v>1</v>
      </c>
      <c r="BZ93" s="264"/>
      <c r="CA93" s="264" t="s">
        <v>651</v>
      </c>
      <c r="CB93" s="264"/>
      <c r="CC93" s="264"/>
      <c r="CD93" s="264"/>
      <c r="CE93" s="264"/>
      <c r="CF93" s="264"/>
      <c r="CG93" s="264"/>
      <c r="CH93" s="264"/>
      <c r="CI93" s="264"/>
      <c r="CJ93" s="264">
        <v>1</v>
      </c>
      <c r="CK93" s="264"/>
      <c r="CL93" s="264">
        <v>1</v>
      </c>
      <c r="CM93" s="264"/>
      <c r="CN93" s="264"/>
      <c r="CO93" s="264"/>
      <c r="CP93" s="264"/>
      <c r="CQ93" s="264">
        <v>1</v>
      </c>
      <c r="CR93" s="264"/>
      <c r="CS93" s="264"/>
      <c r="CT93" s="264"/>
      <c r="CU93" s="264">
        <v>10</v>
      </c>
      <c r="CV93" s="264">
        <v>1</v>
      </c>
      <c r="CW93" s="264">
        <v>8</v>
      </c>
      <c r="CX93" s="66">
        <v>43476</v>
      </c>
      <c r="CY93" s="264"/>
      <c r="CZ93" s="264"/>
      <c r="DA93" s="264"/>
      <c r="DB93" s="264"/>
      <c r="DC93" s="264"/>
      <c r="DD93" s="264"/>
      <c r="DE93" s="264"/>
      <c r="DF93" s="264">
        <v>12</v>
      </c>
      <c r="DG93" s="264">
        <v>1</v>
      </c>
      <c r="DH93" s="264">
        <v>4</v>
      </c>
      <c r="DI93" s="264" t="s">
        <v>690</v>
      </c>
      <c r="DJ93" s="264"/>
      <c r="DK93" s="264"/>
      <c r="DL93" s="264"/>
      <c r="DM93" s="264"/>
      <c r="DN93" s="264"/>
      <c r="DO93" s="264"/>
      <c r="DP93" s="264"/>
      <c r="DQ93" s="264"/>
      <c r="DR93" s="264">
        <v>15</v>
      </c>
      <c r="DS93" s="264"/>
      <c r="DT93" s="264">
        <v>15</v>
      </c>
      <c r="DU93" s="264"/>
      <c r="DV93" s="264">
        <v>14</v>
      </c>
      <c r="DW93" s="264"/>
      <c r="DX93" s="264">
        <v>2</v>
      </c>
      <c r="DY93" s="264"/>
      <c r="DZ93" s="264">
        <v>2</v>
      </c>
      <c r="EA93" s="264"/>
      <c r="EB93" s="264"/>
      <c r="EC93" s="264"/>
      <c r="ED93" s="264"/>
      <c r="EE93" s="264">
        <v>7</v>
      </c>
      <c r="EF93" s="264"/>
      <c r="EG93" s="264"/>
      <c r="EH93" s="264"/>
      <c r="EI93" s="264">
        <v>7</v>
      </c>
      <c r="EJ93" s="264"/>
      <c r="EK93" s="264"/>
      <c r="EL93" s="264">
        <v>1</v>
      </c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>
        <v>60</v>
      </c>
      <c r="D94" s="264" t="s">
        <v>933</v>
      </c>
      <c r="E94" s="264">
        <v>18</v>
      </c>
      <c r="F94" s="66">
        <v>43644</v>
      </c>
      <c r="G94" s="264">
        <v>60</v>
      </c>
      <c r="H94" s="264" t="s">
        <v>933</v>
      </c>
      <c r="I94" s="264">
        <v>18</v>
      </c>
      <c r="J94" s="66">
        <v>43644</v>
      </c>
      <c r="K94" s="264">
        <v>29</v>
      </c>
      <c r="L94" s="264" t="s">
        <v>1065</v>
      </c>
      <c r="M94" s="264"/>
      <c r="N94" s="264" t="s">
        <v>897</v>
      </c>
      <c r="O94" s="264">
        <v>20</v>
      </c>
      <c r="P94" s="264" t="s">
        <v>715</v>
      </c>
      <c r="Q94" s="264">
        <v>4</v>
      </c>
      <c r="R94" s="264" t="s">
        <v>904</v>
      </c>
      <c r="S94" s="264">
        <v>14</v>
      </c>
      <c r="T94" s="264" t="s">
        <v>734</v>
      </c>
      <c r="U94" s="66">
        <v>43518</v>
      </c>
      <c r="V94" s="264">
        <v>2</v>
      </c>
      <c r="W94" s="264" t="s">
        <v>826</v>
      </c>
      <c r="X94" s="264">
        <v>25</v>
      </c>
      <c r="Y94" s="264" t="s">
        <v>899</v>
      </c>
      <c r="Z94" s="264">
        <v>4</v>
      </c>
      <c r="AA94" s="264" t="s">
        <v>731</v>
      </c>
      <c r="AB94" s="264">
        <v>1</v>
      </c>
      <c r="AC94" s="264" t="s">
        <v>693</v>
      </c>
      <c r="AD94" s="264">
        <v>35</v>
      </c>
      <c r="AE94" s="264" t="s">
        <v>1413</v>
      </c>
      <c r="AF94" s="264">
        <v>14</v>
      </c>
      <c r="AG94" s="66">
        <v>43653</v>
      </c>
      <c r="AH94" s="264">
        <v>28</v>
      </c>
      <c r="AI94" s="264" t="s">
        <v>714</v>
      </c>
      <c r="AJ94" s="264">
        <v>2</v>
      </c>
      <c r="AK94" s="264" t="s">
        <v>1473</v>
      </c>
      <c r="AL94" s="264"/>
      <c r="AM94" s="264"/>
      <c r="AN94" s="264">
        <v>29</v>
      </c>
      <c r="AO94" s="264" t="s">
        <v>1474</v>
      </c>
      <c r="AP94" s="264" t="s">
        <v>1398</v>
      </c>
      <c r="AQ94" s="264">
        <v>6</v>
      </c>
      <c r="AR94" s="264" t="s">
        <v>697</v>
      </c>
      <c r="AS94" s="264">
        <v>11</v>
      </c>
      <c r="AT94" s="264" t="s">
        <v>1338</v>
      </c>
      <c r="AU94" s="66">
        <v>43542</v>
      </c>
      <c r="AV94" s="264">
        <v>10</v>
      </c>
      <c r="AW94" s="264"/>
      <c r="AX94" s="264"/>
      <c r="AY94" s="264"/>
      <c r="AZ94" s="264"/>
      <c r="BA94" s="264">
        <v>9</v>
      </c>
      <c r="BB94" s="66">
        <v>43644</v>
      </c>
      <c r="BC94" s="264" t="s">
        <v>657</v>
      </c>
      <c r="BD94" s="264">
        <v>1</v>
      </c>
      <c r="BE94" s="264" t="s">
        <v>678</v>
      </c>
      <c r="BF94" s="66">
        <v>43621</v>
      </c>
      <c r="BG94" s="264">
        <v>10</v>
      </c>
      <c r="BH94" s="264" t="s">
        <v>651</v>
      </c>
      <c r="BI94" s="264" t="s">
        <v>727</v>
      </c>
      <c r="BJ94" s="264">
        <v>2</v>
      </c>
      <c r="BK94" s="264" t="s">
        <v>703</v>
      </c>
      <c r="BL94" s="66">
        <v>43476</v>
      </c>
      <c r="BM94" s="264"/>
      <c r="BN94" s="264"/>
      <c r="BO94" s="264">
        <v>2</v>
      </c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>
        <v>1</v>
      </c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>
        <v>23</v>
      </c>
      <c r="CV94" s="264">
        <v>4</v>
      </c>
      <c r="CW94" s="264">
        <v>10</v>
      </c>
      <c r="CX94" s="66">
        <v>43644</v>
      </c>
      <c r="CY94" s="264"/>
      <c r="CZ94" s="264"/>
      <c r="DA94" s="264"/>
      <c r="DB94" s="264"/>
      <c r="DC94" s="264"/>
      <c r="DD94" s="264"/>
      <c r="DE94" s="264"/>
      <c r="DF94" s="264">
        <v>12</v>
      </c>
      <c r="DG94" s="264">
        <v>4</v>
      </c>
      <c r="DH94" s="264">
        <v>5</v>
      </c>
      <c r="DI94" s="264" t="s">
        <v>726</v>
      </c>
      <c r="DJ94" s="264"/>
      <c r="DK94" s="264"/>
      <c r="DL94" s="264"/>
      <c r="DM94" s="264"/>
      <c r="DN94" s="264">
        <v>2</v>
      </c>
      <c r="DO94" s="264"/>
      <c r="DP94" s="264"/>
      <c r="DQ94" s="264"/>
      <c r="DR94" s="264">
        <v>12</v>
      </c>
      <c r="DS94" s="264" t="s">
        <v>669</v>
      </c>
      <c r="DT94" s="264">
        <v>12</v>
      </c>
      <c r="DU94" s="264" t="s">
        <v>669</v>
      </c>
      <c r="DV94" s="264">
        <v>8</v>
      </c>
      <c r="DW94" s="264" t="s">
        <v>904</v>
      </c>
      <c r="DX94" s="264">
        <v>6</v>
      </c>
      <c r="DY94" s="264" t="s">
        <v>697</v>
      </c>
      <c r="DZ94" s="264">
        <v>4</v>
      </c>
      <c r="EA94" s="264" t="s">
        <v>651</v>
      </c>
      <c r="EB94" s="264"/>
      <c r="EC94" s="264"/>
      <c r="ED94" s="264"/>
      <c r="EE94" s="264">
        <v>6</v>
      </c>
      <c r="EF94" s="264"/>
      <c r="EG94" s="264"/>
      <c r="EH94" s="264"/>
      <c r="EI94" s="264">
        <v>4</v>
      </c>
      <c r="EJ94" s="264"/>
      <c r="EK94" s="264"/>
      <c r="EL94" s="264">
        <v>2</v>
      </c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 t="s">
        <v>649</v>
      </c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 t="s">
        <v>652</v>
      </c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 t="s">
        <v>37</v>
      </c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 t="s">
        <v>653</v>
      </c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 t="s">
        <v>654</v>
      </c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 t="s">
        <v>649</v>
      </c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 t="s">
        <v>655</v>
      </c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 t="s">
        <v>37</v>
      </c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>
        <v>35</v>
      </c>
      <c r="D96" s="264"/>
      <c r="E96" s="264">
        <v>24</v>
      </c>
      <c r="F96" s="264"/>
      <c r="G96" s="264">
        <v>35</v>
      </c>
      <c r="H96" s="264"/>
      <c r="I96" s="264">
        <v>24</v>
      </c>
      <c r="J96" s="264"/>
      <c r="K96" s="264">
        <v>10</v>
      </c>
      <c r="L96" s="264"/>
      <c r="M96" s="264"/>
      <c r="N96" s="264" t="s">
        <v>807</v>
      </c>
      <c r="O96" s="264">
        <v>4</v>
      </c>
      <c r="P96" s="264"/>
      <c r="Q96" s="264">
        <v>3</v>
      </c>
      <c r="R96" s="264"/>
      <c r="S96" s="264">
        <v>5</v>
      </c>
      <c r="T96" s="264"/>
      <c r="U96" s="264" t="s">
        <v>742</v>
      </c>
      <c r="V96" s="264"/>
      <c r="W96" s="264"/>
      <c r="X96" s="264">
        <v>18</v>
      </c>
      <c r="Y96" s="264"/>
      <c r="Z96" s="264">
        <v>16</v>
      </c>
      <c r="AA96" s="264"/>
      <c r="AB96" s="264"/>
      <c r="AC96" s="264" t="s">
        <v>651</v>
      </c>
      <c r="AD96" s="264">
        <v>17</v>
      </c>
      <c r="AE96" s="264"/>
      <c r="AF96" s="264">
        <v>8</v>
      </c>
      <c r="AG96" s="264"/>
      <c r="AH96" s="264">
        <v>10</v>
      </c>
      <c r="AI96" s="264" t="s">
        <v>726</v>
      </c>
      <c r="AJ96" s="264">
        <v>6</v>
      </c>
      <c r="AK96" s="264"/>
      <c r="AL96" s="264"/>
      <c r="AM96" s="264"/>
      <c r="AN96" s="264">
        <v>8</v>
      </c>
      <c r="AO96" s="264"/>
      <c r="AP96" s="66">
        <v>43730</v>
      </c>
      <c r="AQ96" s="264">
        <v>2</v>
      </c>
      <c r="AR96" s="264"/>
      <c r="AS96" s="264">
        <v>2</v>
      </c>
      <c r="AT96" s="264"/>
      <c r="AU96" s="66">
        <v>43651</v>
      </c>
      <c r="AV96" s="264">
        <v>3</v>
      </c>
      <c r="AW96" s="264"/>
      <c r="AX96" s="264"/>
      <c r="AY96" s="264"/>
      <c r="AZ96" s="264"/>
      <c r="BA96" s="264">
        <v>15</v>
      </c>
      <c r="BB96" s="264"/>
      <c r="BC96" s="264" t="s">
        <v>713</v>
      </c>
      <c r="BD96" s="264">
        <v>14</v>
      </c>
      <c r="BE96" s="264"/>
      <c r="BF96" s="264" t="s">
        <v>725</v>
      </c>
      <c r="BG96" s="264">
        <v>16</v>
      </c>
      <c r="BH96" s="264"/>
      <c r="BI96" s="264" t="s">
        <v>667</v>
      </c>
      <c r="BJ96" s="264"/>
      <c r="BK96" s="264"/>
      <c r="BL96" s="264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>
        <v>1</v>
      </c>
      <c r="BY96" s="264">
        <v>1</v>
      </c>
      <c r="BZ96" s="264"/>
      <c r="CA96" s="264" t="s">
        <v>651</v>
      </c>
      <c r="CB96" s="264">
        <v>1</v>
      </c>
      <c r="CC96" s="264"/>
      <c r="CD96" s="264"/>
      <c r="CE96" s="264"/>
      <c r="CF96" s="264"/>
      <c r="CG96" s="264">
        <v>2</v>
      </c>
      <c r="CH96" s="264"/>
      <c r="CI96" s="264" t="s">
        <v>651</v>
      </c>
      <c r="CJ96" s="264"/>
      <c r="CK96" s="264">
        <v>2</v>
      </c>
      <c r="CL96" s="264"/>
      <c r="CM96" s="264" t="s">
        <v>651</v>
      </c>
      <c r="CN96" s="264"/>
      <c r="CO96" s="264"/>
      <c r="CP96" s="264"/>
      <c r="CQ96" s="264"/>
      <c r="CR96" s="264"/>
      <c r="CS96" s="264"/>
      <c r="CT96" s="264"/>
      <c r="CU96" s="264">
        <v>8</v>
      </c>
      <c r="CV96" s="264">
        <v>5</v>
      </c>
      <c r="CW96" s="264">
        <v>5</v>
      </c>
      <c r="CX96" s="264" t="s">
        <v>657</v>
      </c>
      <c r="CY96" s="264"/>
      <c r="CZ96" s="264"/>
      <c r="DA96" s="264"/>
      <c r="DB96" s="264"/>
      <c r="DC96" s="264">
        <v>1</v>
      </c>
      <c r="DD96" s="264"/>
      <c r="DE96" s="264"/>
      <c r="DF96" s="264">
        <v>4</v>
      </c>
      <c r="DG96" s="264"/>
      <c r="DH96" s="264">
        <v>4</v>
      </c>
      <c r="DI96" s="264"/>
      <c r="DJ96" s="264"/>
      <c r="DK96" s="264"/>
      <c r="DL96" s="264"/>
      <c r="DM96" s="264"/>
      <c r="DN96" s="264"/>
      <c r="DO96" s="264">
        <v>1</v>
      </c>
      <c r="DP96" s="264"/>
      <c r="DQ96" s="264" t="s">
        <v>651</v>
      </c>
      <c r="DR96" s="264">
        <v>2</v>
      </c>
      <c r="DS96" s="264"/>
      <c r="DT96" s="264">
        <v>2</v>
      </c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>
        <v>2</v>
      </c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>
        <v>34</v>
      </c>
      <c r="D97" s="264" t="s">
        <v>1124</v>
      </c>
      <c r="E97" s="264">
        <v>21</v>
      </c>
      <c r="F97" s="264" t="s">
        <v>785</v>
      </c>
      <c r="G97" s="264">
        <v>34</v>
      </c>
      <c r="H97" s="264" t="s">
        <v>1124</v>
      </c>
      <c r="I97" s="264">
        <v>21</v>
      </c>
      <c r="J97" s="264" t="s">
        <v>785</v>
      </c>
      <c r="K97" s="264">
        <v>12</v>
      </c>
      <c r="L97" s="264" t="s">
        <v>690</v>
      </c>
      <c r="M97" s="264">
        <v>1</v>
      </c>
      <c r="N97" s="264" t="s">
        <v>824</v>
      </c>
      <c r="O97" s="264">
        <v>8</v>
      </c>
      <c r="P97" s="264" t="s">
        <v>651</v>
      </c>
      <c r="Q97" s="264">
        <v>4</v>
      </c>
      <c r="R97" s="264" t="s">
        <v>714</v>
      </c>
      <c r="S97" s="264">
        <v>2</v>
      </c>
      <c r="T97" s="264" t="s">
        <v>723</v>
      </c>
      <c r="U97" s="264" t="s">
        <v>667</v>
      </c>
      <c r="V97" s="264">
        <v>1</v>
      </c>
      <c r="W97" s="66">
        <v>43466</v>
      </c>
      <c r="X97" s="264">
        <v>13</v>
      </c>
      <c r="Y97" s="264" t="s">
        <v>865</v>
      </c>
      <c r="Z97" s="264">
        <v>12</v>
      </c>
      <c r="AA97" s="264" t="s">
        <v>672</v>
      </c>
      <c r="AB97" s="264">
        <v>4</v>
      </c>
      <c r="AC97" s="264" t="s">
        <v>734</v>
      </c>
      <c r="AD97" s="264">
        <v>21</v>
      </c>
      <c r="AE97" s="66">
        <v>43608</v>
      </c>
      <c r="AF97" s="264">
        <v>9</v>
      </c>
      <c r="AG97" s="66">
        <v>43597</v>
      </c>
      <c r="AH97" s="264">
        <v>8</v>
      </c>
      <c r="AI97" s="264" t="s">
        <v>965</v>
      </c>
      <c r="AJ97" s="264">
        <v>1</v>
      </c>
      <c r="AK97" s="264" t="s">
        <v>847</v>
      </c>
      <c r="AL97" s="264"/>
      <c r="AM97" s="264"/>
      <c r="AN97" s="264">
        <v>11</v>
      </c>
      <c r="AO97" s="264" t="s">
        <v>742</v>
      </c>
      <c r="AP97" s="264" t="s">
        <v>1349</v>
      </c>
      <c r="AQ97" s="264">
        <v>1</v>
      </c>
      <c r="AR97" s="264" t="s">
        <v>678</v>
      </c>
      <c r="AS97" s="264">
        <v>4</v>
      </c>
      <c r="AT97" s="264" t="s">
        <v>651</v>
      </c>
      <c r="AU97" s="66">
        <v>43688</v>
      </c>
      <c r="AV97" s="264"/>
      <c r="AW97" s="264" t="s">
        <v>650</v>
      </c>
      <c r="AX97" s="264">
        <v>1</v>
      </c>
      <c r="AY97" s="264" t="s">
        <v>651</v>
      </c>
      <c r="AZ97" s="66">
        <v>43681</v>
      </c>
      <c r="BA97" s="264">
        <v>17</v>
      </c>
      <c r="BB97" s="66">
        <v>43537</v>
      </c>
      <c r="BC97" s="264" t="s">
        <v>825</v>
      </c>
      <c r="BD97" s="264">
        <v>5</v>
      </c>
      <c r="BE97" s="264" t="s">
        <v>1116</v>
      </c>
      <c r="BF97" s="66">
        <v>43700</v>
      </c>
      <c r="BG97" s="264">
        <v>16</v>
      </c>
      <c r="BH97" s="264"/>
      <c r="BI97" s="264" t="s">
        <v>1299</v>
      </c>
      <c r="BJ97" s="264">
        <v>1</v>
      </c>
      <c r="BK97" s="264" t="s">
        <v>651</v>
      </c>
      <c r="BL97" s="66">
        <v>43681</v>
      </c>
      <c r="BM97" s="264">
        <v>1</v>
      </c>
      <c r="BN97" s="264" t="s">
        <v>651</v>
      </c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>
        <v>1</v>
      </c>
      <c r="CG97" s="264"/>
      <c r="CH97" s="264"/>
      <c r="CI97" s="264"/>
      <c r="CJ97" s="264">
        <v>1</v>
      </c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>
        <v>20</v>
      </c>
      <c r="CV97" s="264">
        <v>4</v>
      </c>
      <c r="CW97" s="264">
        <v>8</v>
      </c>
      <c r="CX97" s="264" t="s">
        <v>714</v>
      </c>
      <c r="CY97" s="264">
        <v>2</v>
      </c>
      <c r="CZ97" s="264"/>
      <c r="DA97" s="264"/>
      <c r="DB97" s="264"/>
      <c r="DC97" s="264">
        <v>1</v>
      </c>
      <c r="DD97" s="264">
        <v>1</v>
      </c>
      <c r="DE97" s="264"/>
      <c r="DF97" s="264">
        <v>2</v>
      </c>
      <c r="DG97" s="264">
        <v>1</v>
      </c>
      <c r="DH97" s="264">
        <v>3</v>
      </c>
      <c r="DI97" s="264" t="s">
        <v>688</v>
      </c>
      <c r="DJ97" s="264"/>
      <c r="DK97" s="264"/>
      <c r="DL97" s="264"/>
      <c r="DM97" s="264"/>
      <c r="DN97" s="264"/>
      <c r="DO97" s="264"/>
      <c r="DP97" s="264"/>
      <c r="DQ97" s="264"/>
      <c r="DR97" s="264">
        <v>1</v>
      </c>
      <c r="DS97" s="264" t="s">
        <v>678</v>
      </c>
      <c r="DT97" s="264">
        <v>1</v>
      </c>
      <c r="DU97" s="264" t="s">
        <v>678</v>
      </c>
      <c r="DV97" s="264"/>
      <c r="DW97" s="264"/>
      <c r="DX97" s="264">
        <v>1</v>
      </c>
      <c r="DY97" s="264" t="s">
        <v>651</v>
      </c>
      <c r="DZ97" s="264">
        <v>1</v>
      </c>
      <c r="EA97" s="264" t="s">
        <v>651</v>
      </c>
      <c r="EB97" s="264"/>
      <c r="EC97" s="264"/>
      <c r="ED97" s="264"/>
      <c r="EE97" s="264">
        <v>1</v>
      </c>
      <c r="EF97" s="264"/>
      <c r="EG97" s="264"/>
      <c r="EH97" s="264"/>
      <c r="EI97" s="264"/>
      <c r="EJ97" s="264"/>
      <c r="EK97" s="264">
        <v>1</v>
      </c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 t="s">
        <v>649</v>
      </c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 t="s">
        <v>652</v>
      </c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 t="s">
        <v>37</v>
      </c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 t="s">
        <v>653</v>
      </c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 t="s">
        <v>654</v>
      </c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 t="s">
        <v>649</v>
      </c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 t="s">
        <v>655</v>
      </c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 t="s">
        <v>37</v>
      </c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>
        <v>1576</v>
      </c>
      <c r="D99" s="264"/>
      <c r="E99" s="264">
        <v>619</v>
      </c>
      <c r="F99" s="264"/>
      <c r="G99" s="264">
        <v>1576</v>
      </c>
      <c r="H99" s="264"/>
      <c r="I99" s="264">
        <v>619</v>
      </c>
      <c r="J99" s="264"/>
      <c r="K99" s="264">
        <v>1056</v>
      </c>
      <c r="L99" s="264"/>
      <c r="M99" s="264">
        <v>15</v>
      </c>
      <c r="N99" s="264" t="s">
        <v>834</v>
      </c>
      <c r="O99" s="264">
        <v>335</v>
      </c>
      <c r="P99" s="264"/>
      <c r="Q99" s="264">
        <v>182</v>
      </c>
      <c r="R99" s="264"/>
      <c r="S99" s="264">
        <v>178</v>
      </c>
      <c r="T99" s="264"/>
      <c r="U99" s="264" t="s">
        <v>891</v>
      </c>
      <c r="V99" s="264">
        <v>87</v>
      </c>
      <c r="W99" s="66">
        <v>43709</v>
      </c>
      <c r="X99" s="264">
        <v>552</v>
      </c>
      <c r="Y99" s="264"/>
      <c r="Z99" s="264">
        <v>286</v>
      </c>
      <c r="AA99" s="264"/>
      <c r="AB99" s="264">
        <v>250</v>
      </c>
      <c r="AC99" s="264" t="s">
        <v>1081</v>
      </c>
      <c r="AD99" s="264">
        <v>1024</v>
      </c>
      <c r="AE99" s="264"/>
      <c r="AF99" s="264">
        <v>333</v>
      </c>
      <c r="AG99" s="264"/>
      <c r="AH99" s="264">
        <v>806</v>
      </c>
      <c r="AI99" s="264" t="s">
        <v>823</v>
      </c>
      <c r="AJ99" s="264">
        <v>159</v>
      </c>
      <c r="AK99" s="264"/>
      <c r="AL99" s="264"/>
      <c r="AM99" s="264"/>
      <c r="AN99" s="264">
        <v>653</v>
      </c>
      <c r="AO99" s="264"/>
      <c r="AP99" s="264" t="s">
        <v>1083</v>
      </c>
      <c r="AQ99" s="264">
        <v>91</v>
      </c>
      <c r="AR99" s="264"/>
      <c r="AS99" s="264">
        <v>395</v>
      </c>
      <c r="AT99" s="264"/>
      <c r="AU99" s="66">
        <v>43490</v>
      </c>
      <c r="AV99" s="264">
        <v>188</v>
      </c>
      <c r="AW99" s="264"/>
      <c r="AX99" s="264">
        <v>16</v>
      </c>
      <c r="AY99" s="264"/>
      <c r="AZ99" s="66">
        <v>43618</v>
      </c>
      <c r="BA99" s="264">
        <v>333</v>
      </c>
      <c r="BB99" s="264"/>
      <c r="BC99" s="264" t="s">
        <v>769</v>
      </c>
      <c r="BD99" s="264">
        <v>175</v>
      </c>
      <c r="BE99" s="264"/>
      <c r="BF99" s="66">
        <v>43552</v>
      </c>
      <c r="BG99" s="264">
        <v>333</v>
      </c>
      <c r="BH99" s="264"/>
      <c r="BI99" s="264" t="s">
        <v>769</v>
      </c>
      <c r="BJ99" s="264">
        <v>103</v>
      </c>
      <c r="BK99" s="264"/>
      <c r="BL99" s="66">
        <v>43632</v>
      </c>
      <c r="BM99" s="264">
        <v>24</v>
      </c>
      <c r="BN99" s="66">
        <v>43547</v>
      </c>
      <c r="BO99" s="264">
        <v>78</v>
      </c>
      <c r="BP99" s="264">
        <v>5</v>
      </c>
      <c r="BQ99" s="264">
        <v>4</v>
      </c>
      <c r="BR99" s="264"/>
      <c r="BS99" s="264" t="s">
        <v>651</v>
      </c>
      <c r="BT99" s="264">
        <v>2</v>
      </c>
      <c r="BU99" s="264">
        <v>1</v>
      </c>
      <c r="BV99" s="264"/>
      <c r="BW99" s="264" t="s">
        <v>651</v>
      </c>
      <c r="BX99" s="264">
        <v>25</v>
      </c>
      <c r="BY99" s="264">
        <v>16</v>
      </c>
      <c r="BZ99" s="264">
        <v>3</v>
      </c>
      <c r="CA99" s="264" t="s">
        <v>1085</v>
      </c>
      <c r="CB99" s="264">
        <v>2</v>
      </c>
      <c r="CC99" s="264">
        <v>1</v>
      </c>
      <c r="CD99" s="264"/>
      <c r="CE99" s="264" t="s">
        <v>651</v>
      </c>
      <c r="CF99" s="264">
        <v>8</v>
      </c>
      <c r="CG99" s="264">
        <v>5</v>
      </c>
      <c r="CH99" s="264">
        <v>4</v>
      </c>
      <c r="CI99" s="264" t="s">
        <v>727</v>
      </c>
      <c r="CJ99" s="264">
        <v>41</v>
      </c>
      <c r="CK99" s="264">
        <v>20</v>
      </c>
      <c r="CL99" s="264">
        <v>26</v>
      </c>
      <c r="CM99" s="264" t="s">
        <v>958</v>
      </c>
      <c r="CN99" s="264">
        <v>2</v>
      </c>
      <c r="CO99" s="264"/>
      <c r="CP99" s="264"/>
      <c r="CQ99" s="264">
        <v>6</v>
      </c>
      <c r="CR99" s="264">
        <v>2</v>
      </c>
      <c r="CS99" s="264">
        <v>7</v>
      </c>
      <c r="CT99" s="66">
        <v>43518</v>
      </c>
      <c r="CU99" s="264">
        <v>674</v>
      </c>
      <c r="CV99" s="264">
        <v>162</v>
      </c>
      <c r="CW99" s="264">
        <v>649</v>
      </c>
      <c r="CX99" s="264" t="s">
        <v>690</v>
      </c>
      <c r="CY99" s="264">
        <v>10</v>
      </c>
      <c r="CZ99" s="264">
        <v>10</v>
      </c>
      <c r="DA99" s="264">
        <v>14</v>
      </c>
      <c r="DB99" s="264" t="s">
        <v>882</v>
      </c>
      <c r="DC99" s="264">
        <v>1</v>
      </c>
      <c r="DD99" s="264">
        <v>1</v>
      </c>
      <c r="DE99" s="264"/>
      <c r="DF99" s="264">
        <v>221</v>
      </c>
      <c r="DG99" s="264">
        <v>27</v>
      </c>
      <c r="DH99" s="264">
        <v>177</v>
      </c>
      <c r="DI99" s="66">
        <v>43509</v>
      </c>
      <c r="DJ99" s="264">
        <v>6</v>
      </c>
      <c r="DK99" s="264">
        <v>1</v>
      </c>
      <c r="DL99" s="264">
        <v>2</v>
      </c>
      <c r="DM99" s="264" t="s">
        <v>714</v>
      </c>
      <c r="DN99" s="264">
        <v>13</v>
      </c>
      <c r="DO99" s="264">
        <v>13</v>
      </c>
      <c r="DP99" s="264">
        <v>4</v>
      </c>
      <c r="DQ99" s="264" t="s">
        <v>792</v>
      </c>
      <c r="DR99" s="264">
        <v>82</v>
      </c>
      <c r="DS99" s="264"/>
      <c r="DT99" s="264">
        <v>80</v>
      </c>
      <c r="DU99" s="264"/>
      <c r="DV99" s="264">
        <v>35</v>
      </c>
      <c r="DW99" s="264"/>
      <c r="DX99" s="264">
        <v>21</v>
      </c>
      <c r="DY99" s="264"/>
      <c r="DZ99" s="264">
        <v>20</v>
      </c>
      <c r="EA99" s="264"/>
      <c r="EB99" s="264">
        <v>7</v>
      </c>
      <c r="EC99" s="264"/>
      <c r="ED99" s="264" t="s">
        <v>1279</v>
      </c>
      <c r="EE99" s="264">
        <v>21</v>
      </c>
      <c r="EF99" s="264"/>
      <c r="EG99" s="264"/>
      <c r="EH99" s="264"/>
      <c r="EI99" s="264">
        <v>11</v>
      </c>
      <c r="EJ99" s="264"/>
      <c r="EK99" s="264"/>
      <c r="EL99" s="264">
        <v>2</v>
      </c>
      <c r="EM99" s="264"/>
      <c r="EN99" s="264">
        <v>3</v>
      </c>
      <c r="EO99" s="264">
        <v>1</v>
      </c>
      <c r="EP99" s="264"/>
      <c r="EQ99" s="264">
        <v>2</v>
      </c>
      <c r="ER99" s="264"/>
      <c r="ES99" s="264"/>
      <c r="ET99" s="264"/>
      <c r="EU99" s="264">
        <v>1</v>
      </c>
    </row>
    <row r="100" spans="1:151">
      <c r="A100" s="259"/>
      <c r="B100" s="1" t="s">
        <v>1110</v>
      </c>
      <c r="C100" s="264">
        <v>1634</v>
      </c>
      <c r="D100" s="66">
        <v>43649</v>
      </c>
      <c r="E100" s="264">
        <v>600</v>
      </c>
      <c r="F100" s="264" t="s">
        <v>1297</v>
      </c>
      <c r="G100" s="264">
        <v>1634</v>
      </c>
      <c r="H100" s="66">
        <v>43649</v>
      </c>
      <c r="I100" s="264">
        <v>600</v>
      </c>
      <c r="J100" s="264" t="s">
        <v>1297</v>
      </c>
      <c r="K100" s="264">
        <v>934</v>
      </c>
      <c r="L100" s="264" t="s">
        <v>1296</v>
      </c>
      <c r="M100" s="264">
        <v>24</v>
      </c>
      <c r="N100" s="264" t="s">
        <v>1024</v>
      </c>
      <c r="O100" s="264">
        <v>330</v>
      </c>
      <c r="P100" s="264" t="s">
        <v>1428</v>
      </c>
      <c r="Q100" s="264">
        <v>86</v>
      </c>
      <c r="R100" s="264" t="s">
        <v>1454</v>
      </c>
      <c r="S100" s="264">
        <v>212</v>
      </c>
      <c r="T100" s="66">
        <v>43484</v>
      </c>
      <c r="U100" s="66">
        <v>43736</v>
      </c>
      <c r="V100" s="264">
        <v>66</v>
      </c>
      <c r="W100" s="66">
        <v>43556</v>
      </c>
      <c r="X100" s="264">
        <v>590</v>
      </c>
      <c r="Y100" s="66">
        <v>43714</v>
      </c>
      <c r="Z100" s="264">
        <v>337</v>
      </c>
      <c r="AA100" s="66">
        <v>43694</v>
      </c>
      <c r="AB100" s="264">
        <v>215</v>
      </c>
      <c r="AC100" s="264" t="s">
        <v>975</v>
      </c>
      <c r="AD100" s="264">
        <v>1044</v>
      </c>
      <c r="AE100" s="264" t="s">
        <v>859</v>
      </c>
      <c r="AF100" s="264">
        <v>263</v>
      </c>
      <c r="AG100" s="264" t="s">
        <v>1404</v>
      </c>
      <c r="AH100" s="264">
        <v>719</v>
      </c>
      <c r="AI100" s="66">
        <v>43703</v>
      </c>
      <c r="AJ100" s="264">
        <v>143</v>
      </c>
      <c r="AK100" s="264" t="s">
        <v>1368</v>
      </c>
      <c r="AL100" s="264">
        <v>1</v>
      </c>
      <c r="AM100" s="264" t="s">
        <v>651</v>
      </c>
      <c r="AN100" s="264">
        <v>684</v>
      </c>
      <c r="AO100" s="66">
        <v>43650</v>
      </c>
      <c r="AP100" s="264" t="s">
        <v>996</v>
      </c>
      <c r="AQ100" s="264">
        <v>74</v>
      </c>
      <c r="AR100" s="264" t="s">
        <v>1315</v>
      </c>
      <c r="AS100" s="264">
        <v>390</v>
      </c>
      <c r="AT100" s="264" t="s">
        <v>1385</v>
      </c>
      <c r="AU100" s="66">
        <v>43731</v>
      </c>
      <c r="AV100" s="264">
        <v>151</v>
      </c>
      <c r="AW100" s="264" t="s">
        <v>1097</v>
      </c>
      <c r="AX100" s="264">
        <v>32</v>
      </c>
      <c r="AY100" s="264" t="s">
        <v>651</v>
      </c>
      <c r="AZ100" s="66">
        <v>43529</v>
      </c>
      <c r="BA100" s="264">
        <v>353</v>
      </c>
      <c r="BB100" s="264" t="s">
        <v>821</v>
      </c>
      <c r="BC100" s="264" t="s">
        <v>972</v>
      </c>
      <c r="BD100" s="264">
        <v>162</v>
      </c>
      <c r="BE100" s="264" t="s">
        <v>1309</v>
      </c>
      <c r="BF100" s="264" t="s">
        <v>941</v>
      </c>
      <c r="BG100" s="264">
        <v>379</v>
      </c>
      <c r="BH100" s="66">
        <v>43690</v>
      </c>
      <c r="BI100" s="264" t="s">
        <v>1091</v>
      </c>
      <c r="BJ100" s="264">
        <v>44</v>
      </c>
      <c r="BK100" s="264" t="s">
        <v>1475</v>
      </c>
      <c r="BL100" s="66">
        <v>43531</v>
      </c>
      <c r="BM100" s="264">
        <v>36</v>
      </c>
      <c r="BN100" s="264" t="s">
        <v>684</v>
      </c>
      <c r="BO100" s="264">
        <v>6</v>
      </c>
      <c r="BP100" s="264">
        <v>8</v>
      </c>
      <c r="BQ100" s="264">
        <v>3</v>
      </c>
      <c r="BR100" s="264"/>
      <c r="BS100" s="264" t="s">
        <v>651</v>
      </c>
      <c r="BT100" s="264">
        <v>1</v>
      </c>
      <c r="BU100" s="264"/>
      <c r="BV100" s="264"/>
      <c r="BW100" s="264"/>
      <c r="BX100" s="264">
        <v>23</v>
      </c>
      <c r="BY100" s="264">
        <v>13</v>
      </c>
      <c r="BZ100" s="264">
        <v>6</v>
      </c>
      <c r="CA100" s="264" t="s">
        <v>686</v>
      </c>
      <c r="CB100" s="264">
        <v>2</v>
      </c>
      <c r="CC100" s="264">
        <v>2</v>
      </c>
      <c r="CD100" s="264">
        <v>1</v>
      </c>
      <c r="CE100" s="264" t="s">
        <v>667</v>
      </c>
      <c r="CF100" s="264">
        <v>9</v>
      </c>
      <c r="CG100" s="264">
        <v>8</v>
      </c>
      <c r="CH100" s="264"/>
      <c r="CI100" s="264" t="s">
        <v>651</v>
      </c>
      <c r="CJ100" s="264">
        <v>48</v>
      </c>
      <c r="CK100" s="264">
        <v>23</v>
      </c>
      <c r="CL100" s="264">
        <v>20</v>
      </c>
      <c r="CM100" s="264" t="s">
        <v>1053</v>
      </c>
      <c r="CN100" s="264"/>
      <c r="CO100" s="264" t="s">
        <v>650</v>
      </c>
      <c r="CP100" s="264"/>
      <c r="CQ100" s="264">
        <v>6</v>
      </c>
      <c r="CR100" s="264">
        <v>1</v>
      </c>
      <c r="CS100" s="264">
        <v>7</v>
      </c>
      <c r="CT100" s="66">
        <v>43597</v>
      </c>
      <c r="CU100" s="264">
        <v>791</v>
      </c>
      <c r="CV100" s="264">
        <v>209</v>
      </c>
      <c r="CW100" s="264">
        <v>579</v>
      </c>
      <c r="CX100" s="66">
        <v>43611</v>
      </c>
      <c r="CY100" s="264">
        <v>23</v>
      </c>
      <c r="CZ100" s="264">
        <v>4</v>
      </c>
      <c r="DA100" s="264">
        <v>11</v>
      </c>
      <c r="DB100" s="66">
        <v>43672</v>
      </c>
      <c r="DC100" s="264">
        <v>4</v>
      </c>
      <c r="DD100" s="264">
        <v>4</v>
      </c>
      <c r="DE100" s="264">
        <v>1</v>
      </c>
      <c r="DF100" s="264">
        <v>222</v>
      </c>
      <c r="DG100" s="264">
        <v>38</v>
      </c>
      <c r="DH100" s="264">
        <v>145</v>
      </c>
      <c r="DI100" s="66">
        <v>43697</v>
      </c>
      <c r="DJ100" s="264">
        <v>5</v>
      </c>
      <c r="DK100" s="264">
        <v>1</v>
      </c>
      <c r="DL100" s="264">
        <v>5</v>
      </c>
      <c r="DM100" s="66">
        <v>43662</v>
      </c>
      <c r="DN100" s="264">
        <v>23</v>
      </c>
      <c r="DO100" s="264">
        <v>9</v>
      </c>
      <c r="DP100" s="264">
        <v>2</v>
      </c>
      <c r="DQ100" s="264" t="s">
        <v>684</v>
      </c>
      <c r="DR100" s="264">
        <v>75</v>
      </c>
      <c r="DS100" s="264" t="s">
        <v>1304</v>
      </c>
      <c r="DT100" s="264">
        <v>73</v>
      </c>
      <c r="DU100" s="264" t="s">
        <v>966</v>
      </c>
      <c r="DV100" s="264">
        <v>49</v>
      </c>
      <c r="DW100" s="264" t="s">
        <v>696</v>
      </c>
      <c r="DX100" s="264">
        <v>17</v>
      </c>
      <c r="DY100" s="264" t="s">
        <v>1322</v>
      </c>
      <c r="DZ100" s="264">
        <v>14</v>
      </c>
      <c r="EA100" s="264" t="s">
        <v>757</v>
      </c>
      <c r="EB100" s="264">
        <v>5</v>
      </c>
      <c r="EC100" s="264" t="s">
        <v>737</v>
      </c>
      <c r="ED100" s="264" t="s">
        <v>887</v>
      </c>
      <c r="EE100" s="264">
        <v>29</v>
      </c>
      <c r="EF100" s="264"/>
      <c r="EG100" s="264"/>
      <c r="EH100" s="264"/>
      <c r="EI100" s="264">
        <v>10</v>
      </c>
      <c r="EJ100" s="264"/>
      <c r="EK100" s="264">
        <v>1</v>
      </c>
      <c r="EL100" s="264">
        <v>2</v>
      </c>
      <c r="EM100" s="264"/>
      <c r="EN100" s="264">
        <v>2</v>
      </c>
      <c r="EO100" s="264">
        <v>2</v>
      </c>
      <c r="EP100" s="264">
        <v>1</v>
      </c>
      <c r="EQ100" s="264">
        <v>2</v>
      </c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 t="s">
        <v>649</v>
      </c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 t="s">
        <v>652</v>
      </c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 t="s">
        <v>37</v>
      </c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 t="s">
        <v>653</v>
      </c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 t="s">
        <v>654</v>
      </c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 t="s">
        <v>649</v>
      </c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 t="s">
        <v>655</v>
      </c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 t="s">
        <v>37</v>
      </c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>
        <v>137</v>
      </c>
      <c r="D102" s="264"/>
      <c r="E102" s="264">
        <v>75</v>
      </c>
      <c r="F102" s="264"/>
      <c r="G102" s="264">
        <v>137</v>
      </c>
      <c r="H102" s="264"/>
      <c r="I102" s="264">
        <v>75</v>
      </c>
      <c r="J102" s="264"/>
      <c r="K102" s="264">
        <v>68</v>
      </c>
      <c r="L102" s="264"/>
      <c r="M102" s="264"/>
      <c r="N102" s="264" t="s">
        <v>774</v>
      </c>
      <c r="O102" s="264">
        <v>26</v>
      </c>
      <c r="P102" s="264"/>
      <c r="Q102" s="264">
        <v>11</v>
      </c>
      <c r="R102" s="264"/>
      <c r="S102" s="264">
        <v>8</v>
      </c>
      <c r="T102" s="264"/>
      <c r="U102" s="264" t="s">
        <v>681</v>
      </c>
      <c r="V102" s="264">
        <v>6</v>
      </c>
      <c r="W102" s="66">
        <v>43586</v>
      </c>
      <c r="X102" s="264">
        <v>46</v>
      </c>
      <c r="Y102" s="264"/>
      <c r="Z102" s="264">
        <v>39</v>
      </c>
      <c r="AA102" s="264"/>
      <c r="AB102" s="264">
        <v>13</v>
      </c>
      <c r="AC102" s="264" t="s">
        <v>734</v>
      </c>
      <c r="AD102" s="264">
        <v>91</v>
      </c>
      <c r="AE102" s="264"/>
      <c r="AF102" s="264">
        <v>36</v>
      </c>
      <c r="AG102" s="264"/>
      <c r="AH102" s="264">
        <v>55</v>
      </c>
      <c r="AI102" s="264" t="s">
        <v>1167</v>
      </c>
      <c r="AJ102" s="264">
        <v>12</v>
      </c>
      <c r="AK102" s="264"/>
      <c r="AL102" s="264"/>
      <c r="AM102" s="264"/>
      <c r="AN102" s="264">
        <v>41</v>
      </c>
      <c r="AO102" s="264"/>
      <c r="AP102" s="66">
        <v>43737</v>
      </c>
      <c r="AQ102" s="264">
        <v>7</v>
      </c>
      <c r="AR102" s="264"/>
      <c r="AS102" s="264">
        <v>32</v>
      </c>
      <c r="AT102" s="264"/>
      <c r="AU102" s="66">
        <v>43578</v>
      </c>
      <c r="AV102" s="264">
        <v>8</v>
      </c>
      <c r="AW102" s="264"/>
      <c r="AX102" s="264">
        <v>5</v>
      </c>
      <c r="AY102" s="264"/>
      <c r="AZ102" s="66">
        <v>43652</v>
      </c>
      <c r="BA102" s="264">
        <v>43</v>
      </c>
      <c r="BB102" s="264"/>
      <c r="BC102" s="264" t="s">
        <v>1136</v>
      </c>
      <c r="BD102" s="264">
        <v>33</v>
      </c>
      <c r="BE102" s="264"/>
      <c r="BF102" s="264" t="s">
        <v>931</v>
      </c>
      <c r="BG102" s="264">
        <v>56</v>
      </c>
      <c r="BH102" s="264"/>
      <c r="BI102" s="264" t="s">
        <v>1219</v>
      </c>
      <c r="BJ102" s="264">
        <v>2</v>
      </c>
      <c r="BK102" s="264"/>
      <c r="BL102" s="66">
        <v>43648</v>
      </c>
      <c r="BM102" s="264">
        <v>2</v>
      </c>
      <c r="BN102" s="264" t="s">
        <v>651</v>
      </c>
      <c r="BO102" s="264"/>
      <c r="BP102" s="264">
        <v>1</v>
      </c>
      <c r="BQ102" s="264"/>
      <c r="BR102" s="264"/>
      <c r="BS102" s="264"/>
      <c r="BT102" s="264"/>
      <c r="BU102" s="264"/>
      <c r="BV102" s="264"/>
      <c r="BW102" s="264"/>
      <c r="BX102" s="264">
        <v>6</v>
      </c>
      <c r="BY102" s="264">
        <v>2</v>
      </c>
      <c r="BZ102" s="264"/>
      <c r="CA102" s="264" t="s">
        <v>651</v>
      </c>
      <c r="CB102" s="264">
        <v>3</v>
      </c>
      <c r="CC102" s="264"/>
      <c r="CD102" s="264"/>
      <c r="CE102" s="264"/>
      <c r="CF102" s="264">
        <v>3</v>
      </c>
      <c r="CG102" s="264"/>
      <c r="CH102" s="264"/>
      <c r="CI102" s="264"/>
      <c r="CJ102" s="264">
        <v>4</v>
      </c>
      <c r="CK102" s="264">
        <v>2</v>
      </c>
      <c r="CL102" s="264">
        <v>1</v>
      </c>
      <c r="CM102" s="264" t="s">
        <v>667</v>
      </c>
      <c r="CN102" s="264"/>
      <c r="CO102" s="264"/>
      <c r="CP102" s="264"/>
      <c r="CQ102" s="264">
        <v>1</v>
      </c>
      <c r="CR102" s="264"/>
      <c r="CS102" s="264">
        <v>2</v>
      </c>
      <c r="CT102" s="264"/>
      <c r="CU102" s="264">
        <v>49</v>
      </c>
      <c r="CV102" s="264">
        <v>24</v>
      </c>
      <c r="CW102" s="264">
        <v>44</v>
      </c>
      <c r="CX102" s="264" t="s">
        <v>950</v>
      </c>
      <c r="CY102" s="264">
        <v>2</v>
      </c>
      <c r="CZ102" s="264">
        <v>4</v>
      </c>
      <c r="DA102" s="264">
        <v>2</v>
      </c>
      <c r="DB102" s="264" t="s">
        <v>667</v>
      </c>
      <c r="DC102" s="264">
        <v>1</v>
      </c>
      <c r="DD102" s="264">
        <v>1</v>
      </c>
      <c r="DE102" s="264"/>
      <c r="DF102" s="264">
        <v>20</v>
      </c>
      <c r="DG102" s="264">
        <v>3</v>
      </c>
      <c r="DH102" s="264">
        <v>10</v>
      </c>
      <c r="DI102" s="66">
        <v>43488</v>
      </c>
      <c r="DJ102" s="264">
        <v>1</v>
      </c>
      <c r="DK102" s="264"/>
      <c r="DL102" s="264"/>
      <c r="DM102" s="264"/>
      <c r="DN102" s="264">
        <v>3</v>
      </c>
      <c r="DO102" s="264">
        <v>2</v>
      </c>
      <c r="DP102" s="264"/>
      <c r="DQ102" s="264" t="s">
        <v>651</v>
      </c>
      <c r="DR102" s="264">
        <v>4</v>
      </c>
      <c r="DS102" s="264"/>
      <c r="DT102" s="264">
        <v>3</v>
      </c>
      <c r="DU102" s="264"/>
      <c r="DV102" s="264">
        <v>2</v>
      </c>
      <c r="DW102" s="264"/>
      <c r="DX102" s="264">
        <v>2</v>
      </c>
      <c r="DY102" s="264"/>
      <c r="DZ102" s="264">
        <v>1</v>
      </c>
      <c r="EA102" s="264"/>
      <c r="EB102" s="264">
        <v>1</v>
      </c>
      <c r="EC102" s="264"/>
      <c r="ED102" s="264" t="s">
        <v>1058</v>
      </c>
      <c r="EE102" s="264">
        <v>1</v>
      </c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>
        <v>1</v>
      </c>
      <c r="ER102" s="264"/>
      <c r="ES102" s="264"/>
      <c r="ET102" s="264">
        <v>1</v>
      </c>
      <c r="EU102" s="264"/>
    </row>
    <row r="103" spans="1:151">
      <c r="A103" s="259"/>
      <c r="B103" s="264" t="s">
        <v>1189</v>
      </c>
      <c r="C103" s="264">
        <v>166</v>
      </c>
      <c r="D103" s="66">
        <v>43517</v>
      </c>
      <c r="E103" s="264">
        <v>88</v>
      </c>
      <c r="F103" s="66">
        <v>43541</v>
      </c>
      <c r="G103" s="264">
        <v>166</v>
      </c>
      <c r="H103" s="66">
        <v>43517</v>
      </c>
      <c r="I103" s="264">
        <v>88</v>
      </c>
      <c r="J103" s="66">
        <v>43541</v>
      </c>
      <c r="K103" s="264">
        <v>61</v>
      </c>
      <c r="L103" s="264" t="s">
        <v>1389</v>
      </c>
      <c r="M103" s="264">
        <v>1</v>
      </c>
      <c r="N103" s="264" t="s">
        <v>1041</v>
      </c>
      <c r="O103" s="264">
        <v>31</v>
      </c>
      <c r="P103" s="66">
        <v>43515</v>
      </c>
      <c r="Q103" s="264">
        <v>18</v>
      </c>
      <c r="R103" s="264" t="s">
        <v>824</v>
      </c>
      <c r="S103" s="264">
        <v>12</v>
      </c>
      <c r="T103" s="264" t="s">
        <v>657</v>
      </c>
      <c r="U103" s="264" t="s">
        <v>676</v>
      </c>
      <c r="V103" s="264"/>
      <c r="W103" s="264"/>
      <c r="X103" s="264">
        <v>70</v>
      </c>
      <c r="Y103" s="264" t="s">
        <v>671</v>
      </c>
      <c r="Z103" s="264">
        <v>48</v>
      </c>
      <c r="AA103" s="66">
        <v>43488</v>
      </c>
      <c r="AB103" s="264">
        <v>14</v>
      </c>
      <c r="AC103" s="264" t="s">
        <v>1037</v>
      </c>
      <c r="AD103" s="264">
        <v>96</v>
      </c>
      <c r="AE103" s="66">
        <v>43590</v>
      </c>
      <c r="AF103" s="264">
        <v>40</v>
      </c>
      <c r="AG103" s="66">
        <v>43476</v>
      </c>
      <c r="AH103" s="264">
        <v>47</v>
      </c>
      <c r="AI103" s="264" t="s">
        <v>964</v>
      </c>
      <c r="AJ103" s="264">
        <v>18</v>
      </c>
      <c r="AK103" s="264" t="s">
        <v>657</v>
      </c>
      <c r="AL103" s="264"/>
      <c r="AM103" s="264"/>
      <c r="AN103" s="264">
        <v>47</v>
      </c>
      <c r="AO103" s="66">
        <v>43630</v>
      </c>
      <c r="AP103" s="66">
        <v>43552</v>
      </c>
      <c r="AQ103" s="264">
        <v>3</v>
      </c>
      <c r="AR103" s="264" t="s">
        <v>1050</v>
      </c>
      <c r="AS103" s="264">
        <v>27</v>
      </c>
      <c r="AT103" s="264" t="s">
        <v>896</v>
      </c>
      <c r="AU103" s="66">
        <v>43540</v>
      </c>
      <c r="AV103" s="264">
        <v>9</v>
      </c>
      <c r="AW103" s="66">
        <v>43597</v>
      </c>
      <c r="AX103" s="264">
        <v>1</v>
      </c>
      <c r="AY103" s="264" t="s">
        <v>889</v>
      </c>
      <c r="AZ103" s="66">
        <v>43466</v>
      </c>
      <c r="BA103" s="264">
        <v>54</v>
      </c>
      <c r="BB103" s="66">
        <v>43641</v>
      </c>
      <c r="BC103" s="264" t="s">
        <v>711</v>
      </c>
      <c r="BD103" s="264">
        <v>27</v>
      </c>
      <c r="BE103" s="264" t="s">
        <v>670</v>
      </c>
      <c r="BF103" s="66">
        <v>43676</v>
      </c>
      <c r="BG103" s="264">
        <v>61</v>
      </c>
      <c r="BH103" s="66">
        <v>43716</v>
      </c>
      <c r="BI103" s="264" t="s">
        <v>1387</v>
      </c>
      <c r="BJ103" s="264">
        <v>10</v>
      </c>
      <c r="BK103" s="264" t="s">
        <v>756</v>
      </c>
      <c r="BL103" s="66">
        <v>43566</v>
      </c>
      <c r="BM103" s="264">
        <v>10</v>
      </c>
      <c r="BN103" s="264" t="s">
        <v>651</v>
      </c>
      <c r="BO103" s="264"/>
      <c r="BP103" s="264">
        <v>1</v>
      </c>
      <c r="BQ103" s="264">
        <v>1</v>
      </c>
      <c r="BR103" s="264"/>
      <c r="BS103" s="264" t="s">
        <v>651</v>
      </c>
      <c r="BT103" s="264"/>
      <c r="BU103" s="264"/>
      <c r="BV103" s="264"/>
      <c r="BW103" s="264"/>
      <c r="BX103" s="264">
        <v>9</v>
      </c>
      <c r="BY103" s="264">
        <v>2</v>
      </c>
      <c r="BZ103" s="264"/>
      <c r="CA103" s="264" t="s">
        <v>651</v>
      </c>
      <c r="CB103" s="264">
        <v>3</v>
      </c>
      <c r="CC103" s="264"/>
      <c r="CD103" s="264"/>
      <c r="CE103" s="264"/>
      <c r="CF103" s="264"/>
      <c r="CG103" s="264">
        <v>1</v>
      </c>
      <c r="CH103" s="264"/>
      <c r="CI103" s="264" t="s">
        <v>651</v>
      </c>
      <c r="CJ103" s="264">
        <v>3</v>
      </c>
      <c r="CK103" s="264">
        <v>2</v>
      </c>
      <c r="CL103" s="264"/>
      <c r="CM103" s="264" t="s">
        <v>651</v>
      </c>
      <c r="CN103" s="264"/>
      <c r="CO103" s="264"/>
      <c r="CP103" s="264"/>
      <c r="CQ103" s="264"/>
      <c r="CR103" s="264"/>
      <c r="CS103" s="264">
        <v>1</v>
      </c>
      <c r="CT103" s="264"/>
      <c r="CU103" s="264">
        <v>66</v>
      </c>
      <c r="CV103" s="264">
        <v>25</v>
      </c>
      <c r="CW103" s="264">
        <v>33</v>
      </c>
      <c r="CX103" s="264" t="s">
        <v>991</v>
      </c>
      <c r="CY103" s="264">
        <v>2</v>
      </c>
      <c r="CZ103" s="264">
        <v>2</v>
      </c>
      <c r="DA103" s="264">
        <v>1</v>
      </c>
      <c r="DB103" s="264" t="s">
        <v>667</v>
      </c>
      <c r="DC103" s="264">
        <v>1</v>
      </c>
      <c r="DD103" s="264"/>
      <c r="DE103" s="264"/>
      <c r="DF103" s="264">
        <v>16</v>
      </c>
      <c r="DG103" s="264">
        <v>7</v>
      </c>
      <c r="DH103" s="264">
        <v>9</v>
      </c>
      <c r="DI103" s="264" t="s">
        <v>976</v>
      </c>
      <c r="DJ103" s="264">
        <v>1</v>
      </c>
      <c r="DK103" s="264"/>
      <c r="DL103" s="264"/>
      <c r="DM103" s="264"/>
      <c r="DN103" s="264">
        <v>1</v>
      </c>
      <c r="DO103" s="264">
        <v>1</v>
      </c>
      <c r="DP103" s="264">
        <v>1</v>
      </c>
      <c r="DQ103" s="264" t="s">
        <v>657</v>
      </c>
      <c r="DR103" s="264">
        <v>9</v>
      </c>
      <c r="DS103" s="264" t="s">
        <v>730</v>
      </c>
      <c r="DT103" s="264">
        <v>8</v>
      </c>
      <c r="DU103" s="264" t="s">
        <v>745</v>
      </c>
      <c r="DV103" s="264">
        <v>6</v>
      </c>
      <c r="DW103" s="264" t="s">
        <v>697</v>
      </c>
      <c r="DX103" s="264">
        <v>6</v>
      </c>
      <c r="DY103" s="264" t="s">
        <v>697</v>
      </c>
      <c r="DZ103" s="264">
        <v>4</v>
      </c>
      <c r="EA103" s="264" t="s">
        <v>731</v>
      </c>
      <c r="EB103" s="264">
        <v>4</v>
      </c>
      <c r="EC103" s="264" t="s">
        <v>731</v>
      </c>
      <c r="ED103" s="264" t="s">
        <v>1374</v>
      </c>
      <c r="EE103" s="264">
        <v>1</v>
      </c>
      <c r="EF103" s="264"/>
      <c r="EG103" s="264"/>
      <c r="EH103" s="264"/>
      <c r="EI103" s="264"/>
      <c r="EJ103" s="264"/>
      <c r="EK103" s="264"/>
      <c r="EL103" s="264"/>
      <c r="EM103" s="264"/>
      <c r="EN103" s="264">
        <v>1</v>
      </c>
      <c r="EO103" s="264"/>
      <c r="EP103" s="264"/>
      <c r="EQ103" s="264">
        <v>1</v>
      </c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 t="s">
        <v>649</v>
      </c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 t="s">
        <v>652</v>
      </c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 t="s">
        <v>37</v>
      </c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 t="s">
        <v>653</v>
      </c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 t="s">
        <v>654</v>
      </c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 t="s">
        <v>649</v>
      </c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 t="s">
        <v>655</v>
      </c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 t="s">
        <v>37</v>
      </c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>
        <v>112</v>
      </c>
      <c r="D105" s="264"/>
      <c r="E105" s="264">
        <v>56</v>
      </c>
      <c r="F105" s="264"/>
      <c r="G105" s="264">
        <v>112</v>
      </c>
      <c r="H105" s="264"/>
      <c r="I105" s="264">
        <v>56</v>
      </c>
      <c r="J105" s="264"/>
      <c r="K105" s="264">
        <v>55</v>
      </c>
      <c r="L105" s="264"/>
      <c r="M105" s="264"/>
      <c r="N105" s="264" t="s">
        <v>827</v>
      </c>
      <c r="O105" s="264">
        <v>15</v>
      </c>
      <c r="P105" s="264"/>
      <c r="Q105" s="264">
        <v>9</v>
      </c>
      <c r="R105" s="264"/>
      <c r="S105" s="264">
        <v>4</v>
      </c>
      <c r="T105" s="264"/>
      <c r="U105" s="264" t="s">
        <v>729</v>
      </c>
      <c r="V105" s="264">
        <v>1</v>
      </c>
      <c r="W105" s="264" t="s">
        <v>886</v>
      </c>
      <c r="X105" s="264">
        <v>55</v>
      </c>
      <c r="Y105" s="264"/>
      <c r="Z105" s="264">
        <v>36</v>
      </c>
      <c r="AA105" s="264"/>
      <c r="AB105" s="264">
        <v>14</v>
      </c>
      <c r="AC105" s="264" t="s">
        <v>858</v>
      </c>
      <c r="AD105" s="264">
        <v>57</v>
      </c>
      <c r="AE105" s="264"/>
      <c r="AF105" s="264">
        <v>20</v>
      </c>
      <c r="AG105" s="264"/>
      <c r="AH105" s="264">
        <v>41</v>
      </c>
      <c r="AI105" s="264" t="s">
        <v>959</v>
      </c>
      <c r="AJ105" s="264">
        <v>14</v>
      </c>
      <c r="AK105" s="264"/>
      <c r="AL105" s="264"/>
      <c r="AM105" s="264"/>
      <c r="AN105" s="264">
        <v>23</v>
      </c>
      <c r="AO105" s="264"/>
      <c r="AP105" s="66">
        <v>43605</v>
      </c>
      <c r="AQ105" s="264">
        <v>3</v>
      </c>
      <c r="AR105" s="264"/>
      <c r="AS105" s="264">
        <v>15</v>
      </c>
      <c r="AT105" s="264"/>
      <c r="AU105" s="66">
        <v>43568</v>
      </c>
      <c r="AV105" s="264">
        <v>3</v>
      </c>
      <c r="AW105" s="264"/>
      <c r="AX105" s="264">
        <v>4</v>
      </c>
      <c r="AY105" s="264"/>
      <c r="AZ105" s="66">
        <v>43472</v>
      </c>
      <c r="BA105" s="264">
        <v>37</v>
      </c>
      <c r="BB105" s="264"/>
      <c r="BC105" s="264" t="s">
        <v>936</v>
      </c>
      <c r="BD105" s="264">
        <v>26</v>
      </c>
      <c r="BE105" s="264"/>
      <c r="BF105" s="264" t="s">
        <v>1137</v>
      </c>
      <c r="BG105" s="264">
        <v>38</v>
      </c>
      <c r="BH105" s="264"/>
      <c r="BI105" s="264" t="s">
        <v>718</v>
      </c>
      <c r="BJ105" s="264">
        <v>7</v>
      </c>
      <c r="BK105" s="264"/>
      <c r="BL105" s="66">
        <v>43597</v>
      </c>
      <c r="BM105" s="264">
        <v>7</v>
      </c>
      <c r="BN105" s="264" t="s">
        <v>651</v>
      </c>
      <c r="BO105" s="264"/>
      <c r="BP105" s="264">
        <v>1</v>
      </c>
      <c r="BQ105" s="264">
        <v>1</v>
      </c>
      <c r="BR105" s="264"/>
      <c r="BS105" s="264" t="s">
        <v>651</v>
      </c>
      <c r="BT105" s="264">
        <v>1</v>
      </c>
      <c r="BU105" s="264"/>
      <c r="BV105" s="264"/>
      <c r="BW105" s="264"/>
      <c r="BX105" s="264">
        <v>4</v>
      </c>
      <c r="BY105" s="264">
        <v>2</v>
      </c>
      <c r="BZ105" s="264"/>
      <c r="CA105" s="264" t="s">
        <v>651</v>
      </c>
      <c r="CB105" s="264"/>
      <c r="CC105" s="264">
        <v>1</v>
      </c>
      <c r="CD105" s="264"/>
      <c r="CE105" s="264" t="s">
        <v>651</v>
      </c>
      <c r="CF105" s="264"/>
      <c r="CG105" s="264"/>
      <c r="CH105" s="264"/>
      <c r="CI105" s="264"/>
      <c r="CJ105" s="264">
        <v>4</v>
      </c>
      <c r="CK105" s="264">
        <v>4</v>
      </c>
      <c r="CL105" s="264">
        <v>2</v>
      </c>
      <c r="CM105" s="264" t="s">
        <v>667</v>
      </c>
      <c r="CN105" s="264"/>
      <c r="CO105" s="264"/>
      <c r="CP105" s="264"/>
      <c r="CQ105" s="264"/>
      <c r="CR105" s="264"/>
      <c r="CS105" s="264">
        <v>1</v>
      </c>
      <c r="CT105" s="264"/>
      <c r="CU105" s="264">
        <v>55</v>
      </c>
      <c r="CV105" s="264">
        <v>26</v>
      </c>
      <c r="CW105" s="264">
        <v>41</v>
      </c>
      <c r="CX105" s="264" t="s">
        <v>961</v>
      </c>
      <c r="CY105" s="264">
        <v>3</v>
      </c>
      <c r="CZ105" s="264">
        <v>4</v>
      </c>
      <c r="DA105" s="264">
        <v>1</v>
      </c>
      <c r="DB105" s="264" t="s">
        <v>693</v>
      </c>
      <c r="DC105" s="264"/>
      <c r="DD105" s="264"/>
      <c r="DE105" s="264"/>
      <c r="DF105" s="264">
        <v>7</v>
      </c>
      <c r="DG105" s="264">
        <v>2</v>
      </c>
      <c r="DH105" s="264">
        <v>8</v>
      </c>
      <c r="DI105" s="264" t="s">
        <v>690</v>
      </c>
      <c r="DJ105" s="264"/>
      <c r="DK105" s="264">
        <v>1</v>
      </c>
      <c r="DL105" s="264"/>
      <c r="DM105" s="264" t="s">
        <v>651</v>
      </c>
      <c r="DN105" s="264">
        <v>1</v>
      </c>
      <c r="DO105" s="264">
        <v>1</v>
      </c>
      <c r="DP105" s="264"/>
      <c r="DQ105" s="264" t="s">
        <v>651</v>
      </c>
      <c r="DR105" s="264">
        <v>4</v>
      </c>
      <c r="DS105" s="264"/>
      <c r="DT105" s="264">
        <v>3</v>
      </c>
      <c r="DU105" s="264"/>
      <c r="DV105" s="264">
        <v>2</v>
      </c>
      <c r="DW105" s="264"/>
      <c r="DX105" s="264">
        <v>1</v>
      </c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>
        <v>1</v>
      </c>
      <c r="EO105" s="264"/>
      <c r="EP105" s="264"/>
      <c r="EQ105" s="264">
        <v>1</v>
      </c>
      <c r="ER105" s="264"/>
      <c r="ES105" s="264"/>
      <c r="ET105" s="264"/>
      <c r="EU105" s="264"/>
    </row>
    <row r="106" spans="1:151">
      <c r="A106" s="259"/>
      <c r="B106" s="264" t="s">
        <v>1190</v>
      </c>
      <c r="C106" s="264">
        <v>100</v>
      </c>
      <c r="D106" s="264" t="s">
        <v>1123</v>
      </c>
      <c r="E106" s="264">
        <v>59</v>
      </c>
      <c r="F106" s="66">
        <v>43560</v>
      </c>
      <c r="G106" s="264">
        <v>100</v>
      </c>
      <c r="H106" s="264" t="s">
        <v>1123</v>
      </c>
      <c r="I106" s="264">
        <v>59</v>
      </c>
      <c r="J106" s="66">
        <v>43560</v>
      </c>
      <c r="K106" s="264">
        <v>41</v>
      </c>
      <c r="L106" s="264" t="s">
        <v>1310</v>
      </c>
      <c r="M106" s="264"/>
      <c r="N106" s="264" t="s">
        <v>771</v>
      </c>
      <c r="O106" s="264">
        <v>21</v>
      </c>
      <c r="P106" s="264" t="s">
        <v>696</v>
      </c>
      <c r="Q106" s="264">
        <v>10</v>
      </c>
      <c r="R106" s="66">
        <v>43476</v>
      </c>
      <c r="S106" s="264">
        <v>3</v>
      </c>
      <c r="T106" s="264" t="s">
        <v>672</v>
      </c>
      <c r="U106" s="264" t="s">
        <v>1009</v>
      </c>
      <c r="V106" s="264"/>
      <c r="W106" s="264"/>
      <c r="X106" s="264">
        <v>47</v>
      </c>
      <c r="Y106" s="264" t="s">
        <v>900</v>
      </c>
      <c r="Z106" s="264">
        <v>35</v>
      </c>
      <c r="AA106" s="264" t="s">
        <v>1375</v>
      </c>
      <c r="AB106" s="264">
        <v>10</v>
      </c>
      <c r="AC106" s="264" t="s">
        <v>1006</v>
      </c>
      <c r="AD106" s="264">
        <v>53</v>
      </c>
      <c r="AE106" s="264" t="s">
        <v>1022</v>
      </c>
      <c r="AF106" s="264">
        <v>24</v>
      </c>
      <c r="AG106" s="264" t="s">
        <v>690</v>
      </c>
      <c r="AH106" s="264">
        <v>31</v>
      </c>
      <c r="AI106" s="264" t="s">
        <v>787</v>
      </c>
      <c r="AJ106" s="264">
        <v>15</v>
      </c>
      <c r="AK106" s="66">
        <v>43472</v>
      </c>
      <c r="AL106" s="264"/>
      <c r="AM106" s="264"/>
      <c r="AN106" s="264">
        <v>22</v>
      </c>
      <c r="AO106" s="264" t="s">
        <v>1422</v>
      </c>
      <c r="AP106" s="264" t="s">
        <v>1019</v>
      </c>
      <c r="AQ106" s="264">
        <v>3</v>
      </c>
      <c r="AR106" s="264"/>
      <c r="AS106" s="264">
        <v>12</v>
      </c>
      <c r="AT106" s="264" t="s">
        <v>669</v>
      </c>
      <c r="AU106" s="264" t="s">
        <v>1121</v>
      </c>
      <c r="AV106" s="264">
        <v>8</v>
      </c>
      <c r="AW106" s="264" t="s">
        <v>745</v>
      </c>
      <c r="AX106" s="264">
        <v>3</v>
      </c>
      <c r="AY106" s="264" t="s">
        <v>672</v>
      </c>
      <c r="AZ106" s="66">
        <v>43470</v>
      </c>
      <c r="BA106" s="264">
        <v>47</v>
      </c>
      <c r="BB106" s="264" t="s">
        <v>941</v>
      </c>
      <c r="BC106" s="264" t="s">
        <v>1002</v>
      </c>
      <c r="BD106" s="264">
        <v>22</v>
      </c>
      <c r="BE106" s="264" t="s">
        <v>853</v>
      </c>
      <c r="BF106" s="264" t="s">
        <v>1321</v>
      </c>
      <c r="BG106" s="264">
        <v>50</v>
      </c>
      <c r="BH106" s="264" t="s">
        <v>1025</v>
      </c>
      <c r="BI106" s="264" t="s">
        <v>1435</v>
      </c>
      <c r="BJ106" s="264">
        <v>8</v>
      </c>
      <c r="BK106" s="66">
        <v>43538</v>
      </c>
      <c r="BL106" s="66">
        <v>43629</v>
      </c>
      <c r="BM106" s="264">
        <v>8</v>
      </c>
      <c r="BN106" s="264" t="s">
        <v>651</v>
      </c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>
        <v>3</v>
      </c>
      <c r="BY106" s="264">
        <v>1</v>
      </c>
      <c r="BZ106" s="264"/>
      <c r="CA106" s="264" t="s">
        <v>651</v>
      </c>
      <c r="CB106" s="264">
        <v>1</v>
      </c>
      <c r="CC106" s="264"/>
      <c r="CD106" s="264"/>
      <c r="CE106" s="264"/>
      <c r="CF106" s="264"/>
      <c r="CG106" s="264">
        <v>1</v>
      </c>
      <c r="CH106" s="264"/>
      <c r="CI106" s="264" t="s">
        <v>651</v>
      </c>
      <c r="CJ106" s="264">
        <v>3</v>
      </c>
      <c r="CK106" s="264">
        <v>1</v>
      </c>
      <c r="CL106" s="264"/>
      <c r="CM106" s="264" t="s">
        <v>651</v>
      </c>
      <c r="CN106" s="264"/>
      <c r="CO106" s="264"/>
      <c r="CP106" s="264"/>
      <c r="CQ106" s="264">
        <v>1</v>
      </c>
      <c r="CR106" s="264"/>
      <c r="CS106" s="264"/>
      <c r="CT106" s="264"/>
      <c r="CU106" s="264">
        <v>39</v>
      </c>
      <c r="CV106" s="264">
        <v>26</v>
      </c>
      <c r="CW106" s="264">
        <v>31</v>
      </c>
      <c r="CX106" s="264" t="s">
        <v>1164</v>
      </c>
      <c r="CY106" s="264">
        <v>2</v>
      </c>
      <c r="CZ106" s="264"/>
      <c r="DA106" s="264"/>
      <c r="DB106" s="264"/>
      <c r="DC106" s="264">
        <v>1</v>
      </c>
      <c r="DD106" s="264"/>
      <c r="DE106" s="264"/>
      <c r="DF106" s="264">
        <v>7</v>
      </c>
      <c r="DG106" s="264"/>
      <c r="DH106" s="264">
        <v>7</v>
      </c>
      <c r="DI106" s="264"/>
      <c r="DJ106" s="264"/>
      <c r="DK106" s="264"/>
      <c r="DL106" s="264"/>
      <c r="DM106" s="264"/>
      <c r="DN106" s="264"/>
      <c r="DO106" s="264">
        <v>1</v>
      </c>
      <c r="DP106" s="264"/>
      <c r="DQ106" s="264" t="s">
        <v>651</v>
      </c>
      <c r="DR106" s="264"/>
      <c r="DS106" s="264" t="s">
        <v>650</v>
      </c>
      <c r="DT106" s="264"/>
      <c r="DU106" s="264" t="s">
        <v>650</v>
      </c>
      <c r="DV106" s="264"/>
      <c r="DW106" s="264" t="s">
        <v>650</v>
      </c>
      <c r="DX106" s="264">
        <v>1</v>
      </c>
      <c r="DY106" s="264"/>
      <c r="DZ106" s="264"/>
      <c r="EA106" s="264"/>
      <c r="EB106" s="264"/>
      <c r="EC106" s="264"/>
      <c r="ED106" s="264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 t="s">
        <v>649</v>
      </c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 t="s">
        <v>652</v>
      </c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 t="s">
        <v>37</v>
      </c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 t="s">
        <v>653</v>
      </c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 t="s">
        <v>654</v>
      </c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 t="s">
        <v>649</v>
      </c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 t="s">
        <v>655</v>
      </c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 t="s">
        <v>37</v>
      </c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>
        <v>81</v>
      </c>
      <c r="D108" s="264"/>
      <c r="E108" s="264">
        <v>40</v>
      </c>
      <c r="F108" s="264"/>
      <c r="G108" s="264">
        <v>81</v>
      </c>
      <c r="H108" s="264"/>
      <c r="I108" s="264">
        <v>40</v>
      </c>
      <c r="J108" s="264"/>
      <c r="K108" s="264">
        <v>47</v>
      </c>
      <c r="L108" s="264"/>
      <c r="M108" s="264"/>
      <c r="N108" s="264" t="s">
        <v>964</v>
      </c>
      <c r="O108" s="264">
        <v>12</v>
      </c>
      <c r="P108" s="264"/>
      <c r="Q108" s="264">
        <v>8</v>
      </c>
      <c r="R108" s="264"/>
      <c r="S108" s="264">
        <v>2</v>
      </c>
      <c r="T108" s="264"/>
      <c r="U108" s="264" t="s">
        <v>693</v>
      </c>
      <c r="V108" s="264">
        <v>1</v>
      </c>
      <c r="W108" s="264" t="s">
        <v>786</v>
      </c>
      <c r="X108" s="264">
        <v>35</v>
      </c>
      <c r="Y108" s="264"/>
      <c r="Z108" s="264">
        <v>21</v>
      </c>
      <c r="AA108" s="264"/>
      <c r="AB108" s="264">
        <v>11</v>
      </c>
      <c r="AC108" s="264" t="s">
        <v>1018</v>
      </c>
      <c r="AD108" s="264">
        <v>46</v>
      </c>
      <c r="AE108" s="264"/>
      <c r="AF108" s="264">
        <v>19</v>
      </c>
      <c r="AG108" s="264"/>
      <c r="AH108" s="264">
        <v>36</v>
      </c>
      <c r="AI108" s="264" t="s">
        <v>970</v>
      </c>
      <c r="AJ108" s="264">
        <v>9</v>
      </c>
      <c r="AK108" s="264"/>
      <c r="AL108" s="264"/>
      <c r="AM108" s="264"/>
      <c r="AN108" s="264">
        <v>14</v>
      </c>
      <c r="AO108" s="264"/>
      <c r="AP108" s="66">
        <v>43541</v>
      </c>
      <c r="AQ108" s="264">
        <v>2</v>
      </c>
      <c r="AR108" s="264"/>
      <c r="AS108" s="264">
        <v>11</v>
      </c>
      <c r="AT108" s="264"/>
      <c r="AU108" s="66">
        <v>43629</v>
      </c>
      <c r="AV108" s="264">
        <v>1</v>
      </c>
      <c r="AW108" s="264"/>
      <c r="AX108" s="264">
        <v>3</v>
      </c>
      <c r="AY108" s="264"/>
      <c r="AZ108" s="66">
        <v>43592</v>
      </c>
      <c r="BA108" s="264">
        <v>26</v>
      </c>
      <c r="BB108" s="264"/>
      <c r="BC108" s="264" t="s">
        <v>702</v>
      </c>
      <c r="BD108" s="264">
        <v>18</v>
      </c>
      <c r="BE108" s="264"/>
      <c r="BF108" s="264" t="s">
        <v>920</v>
      </c>
      <c r="BG108" s="264">
        <v>27</v>
      </c>
      <c r="BH108" s="264"/>
      <c r="BI108" s="264" t="s">
        <v>926</v>
      </c>
      <c r="BJ108" s="264">
        <v>7</v>
      </c>
      <c r="BK108" s="264"/>
      <c r="BL108" s="66">
        <v>43602</v>
      </c>
      <c r="BM108" s="264">
        <v>7</v>
      </c>
      <c r="BN108" s="264" t="s">
        <v>651</v>
      </c>
      <c r="BO108" s="264"/>
      <c r="BP108" s="264">
        <v>1</v>
      </c>
      <c r="BQ108" s="264"/>
      <c r="BR108" s="264"/>
      <c r="BS108" s="264"/>
      <c r="BT108" s="264">
        <v>1</v>
      </c>
      <c r="BU108" s="264"/>
      <c r="BV108" s="264"/>
      <c r="BW108" s="264"/>
      <c r="BX108" s="264">
        <v>2</v>
      </c>
      <c r="BY108" s="264">
        <v>2</v>
      </c>
      <c r="BZ108" s="264"/>
      <c r="CA108" s="264" t="s">
        <v>651</v>
      </c>
      <c r="CB108" s="264"/>
      <c r="CC108" s="264">
        <v>1</v>
      </c>
      <c r="CD108" s="264"/>
      <c r="CE108" s="264" t="s">
        <v>651</v>
      </c>
      <c r="CF108" s="264"/>
      <c r="CG108" s="264"/>
      <c r="CH108" s="264"/>
      <c r="CI108" s="264"/>
      <c r="CJ108" s="264">
        <v>1</v>
      </c>
      <c r="CK108" s="264">
        <v>2</v>
      </c>
      <c r="CL108" s="264"/>
      <c r="CM108" s="264" t="s">
        <v>651</v>
      </c>
      <c r="CN108" s="264"/>
      <c r="CO108" s="264"/>
      <c r="CP108" s="264"/>
      <c r="CQ108" s="264"/>
      <c r="CR108" s="264"/>
      <c r="CS108" s="264">
        <v>1</v>
      </c>
      <c r="CT108" s="264"/>
      <c r="CU108" s="264">
        <v>44</v>
      </c>
      <c r="CV108" s="264">
        <v>22</v>
      </c>
      <c r="CW108" s="264">
        <v>38</v>
      </c>
      <c r="CX108" s="264" t="s">
        <v>1035</v>
      </c>
      <c r="CY108" s="264">
        <v>3</v>
      </c>
      <c r="CZ108" s="264">
        <v>4</v>
      </c>
      <c r="DA108" s="264">
        <v>1</v>
      </c>
      <c r="DB108" s="264" t="s">
        <v>693</v>
      </c>
      <c r="DC108" s="264"/>
      <c r="DD108" s="264"/>
      <c r="DE108" s="264"/>
      <c r="DF108" s="264">
        <v>3</v>
      </c>
      <c r="DG108" s="264">
        <v>2</v>
      </c>
      <c r="DH108" s="264">
        <v>5</v>
      </c>
      <c r="DI108" s="66">
        <v>43644</v>
      </c>
      <c r="DJ108" s="264"/>
      <c r="DK108" s="264">
        <v>1</v>
      </c>
      <c r="DL108" s="264"/>
      <c r="DM108" s="264" t="s">
        <v>651</v>
      </c>
      <c r="DN108" s="264">
        <v>1</v>
      </c>
      <c r="DO108" s="264"/>
      <c r="DP108" s="264"/>
      <c r="DQ108" s="264"/>
      <c r="DR108" s="264">
        <v>4</v>
      </c>
      <c r="DS108" s="264"/>
      <c r="DT108" s="264">
        <v>3</v>
      </c>
      <c r="DU108" s="264"/>
      <c r="DV108" s="264">
        <v>2</v>
      </c>
      <c r="DW108" s="264"/>
      <c r="DX108" s="264">
        <v>1</v>
      </c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>
        <v>1</v>
      </c>
      <c r="EO108" s="264"/>
      <c r="EP108" s="264"/>
      <c r="EQ108" s="264">
        <v>1</v>
      </c>
      <c r="ER108" s="264"/>
      <c r="ES108" s="264"/>
      <c r="ET108" s="264"/>
      <c r="EU108" s="264"/>
    </row>
    <row r="109" spans="1:151">
      <c r="A109" s="259"/>
      <c r="B109" s="264" t="s">
        <v>1192</v>
      </c>
      <c r="C109" s="264">
        <v>73</v>
      </c>
      <c r="D109" s="264" t="s">
        <v>1306</v>
      </c>
      <c r="E109" s="264">
        <v>47</v>
      </c>
      <c r="F109" s="66">
        <v>43602</v>
      </c>
      <c r="G109" s="264">
        <v>73</v>
      </c>
      <c r="H109" s="264" t="s">
        <v>1306</v>
      </c>
      <c r="I109" s="264">
        <v>47</v>
      </c>
      <c r="J109" s="66">
        <v>43602</v>
      </c>
      <c r="K109" s="264">
        <v>32</v>
      </c>
      <c r="L109" s="264" t="s">
        <v>1355</v>
      </c>
      <c r="M109" s="264"/>
      <c r="N109" s="264" t="s">
        <v>910</v>
      </c>
      <c r="O109" s="264">
        <v>18</v>
      </c>
      <c r="P109" s="264" t="s">
        <v>657</v>
      </c>
      <c r="Q109" s="264">
        <v>10</v>
      </c>
      <c r="R109" s="264" t="s">
        <v>688</v>
      </c>
      <c r="S109" s="264">
        <v>2</v>
      </c>
      <c r="T109" s="264"/>
      <c r="U109" s="264" t="s">
        <v>674</v>
      </c>
      <c r="V109" s="264"/>
      <c r="W109" s="264"/>
      <c r="X109" s="264">
        <v>35</v>
      </c>
      <c r="Y109" s="264"/>
      <c r="Z109" s="264">
        <v>27</v>
      </c>
      <c r="AA109" s="66">
        <v>43644</v>
      </c>
      <c r="AB109" s="264">
        <v>7</v>
      </c>
      <c r="AC109" s="264" t="s">
        <v>1293</v>
      </c>
      <c r="AD109" s="264">
        <v>38</v>
      </c>
      <c r="AE109" s="264" t="s">
        <v>663</v>
      </c>
      <c r="AF109" s="264">
        <v>20</v>
      </c>
      <c r="AG109" s="66">
        <v>43529</v>
      </c>
      <c r="AH109" s="264">
        <v>25</v>
      </c>
      <c r="AI109" s="264" t="s">
        <v>726</v>
      </c>
      <c r="AJ109" s="264">
        <v>15</v>
      </c>
      <c r="AK109" s="264" t="s">
        <v>667</v>
      </c>
      <c r="AL109" s="264"/>
      <c r="AM109" s="264"/>
      <c r="AN109" s="264">
        <v>12</v>
      </c>
      <c r="AO109" s="264" t="s">
        <v>673</v>
      </c>
      <c r="AP109" s="66">
        <v>43571</v>
      </c>
      <c r="AQ109" s="264">
        <v>3</v>
      </c>
      <c r="AR109" s="264" t="s">
        <v>657</v>
      </c>
      <c r="AS109" s="264">
        <v>8</v>
      </c>
      <c r="AT109" s="264" t="s">
        <v>851</v>
      </c>
      <c r="AU109" s="264" t="s">
        <v>1381</v>
      </c>
      <c r="AV109" s="264">
        <v>7</v>
      </c>
      <c r="AW109" s="264" t="s">
        <v>1030</v>
      </c>
      <c r="AX109" s="264">
        <v>2</v>
      </c>
      <c r="AY109" s="264" t="s">
        <v>677</v>
      </c>
      <c r="AZ109" s="66">
        <v>43528</v>
      </c>
      <c r="BA109" s="264">
        <v>36</v>
      </c>
      <c r="BB109" s="264" t="s">
        <v>938</v>
      </c>
      <c r="BC109" s="264" t="s">
        <v>1431</v>
      </c>
      <c r="BD109" s="264">
        <v>15</v>
      </c>
      <c r="BE109" s="264" t="s">
        <v>692</v>
      </c>
      <c r="BF109" s="264" t="s">
        <v>1325</v>
      </c>
      <c r="BG109" s="264">
        <v>39</v>
      </c>
      <c r="BH109" s="264" t="s">
        <v>726</v>
      </c>
      <c r="BI109" s="264" t="s">
        <v>1399</v>
      </c>
      <c r="BJ109" s="264">
        <v>5</v>
      </c>
      <c r="BK109" s="264" t="s">
        <v>737</v>
      </c>
      <c r="BL109" s="66">
        <v>43626</v>
      </c>
      <c r="BM109" s="264">
        <v>5</v>
      </c>
      <c r="BN109" s="264" t="s">
        <v>651</v>
      </c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>
        <v>3</v>
      </c>
      <c r="BY109" s="264">
        <v>1</v>
      </c>
      <c r="BZ109" s="264"/>
      <c r="CA109" s="264" t="s">
        <v>651</v>
      </c>
      <c r="CB109" s="264">
        <v>1</v>
      </c>
      <c r="CC109" s="264"/>
      <c r="CD109" s="264"/>
      <c r="CE109" s="264"/>
      <c r="CF109" s="264"/>
      <c r="CG109" s="264">
        <v>1</v>
      </c>
      <c r="CH109" s="264"/>
      <c r="CI109" s="264" t="s">
        <v>651</v>
      </c>
      <c r="CJ109" s="264">
        <v>3</v>
      </c>
      <c r="CK109" s="264"/>
      <c r="CL109" s="264"/>
      <c r="CM109" s="264"/>
      <c r="CN109" s="264"/>
      <c r="CO109" s="264"/>
      <c r="CP109" s="264"/>
      <c r="CQ109" s="264">
        <v>1</v>
      </c>
      <c r="CR109" s="264"/>
      <c r="CS109" s="264"/>
      <c r="CT109" s="264"/>
      <c r="CU109" s="264">
        <v>27</v>
      </c>
      <c r="CV109" s="264">
        <v>22</v>
      </c>
      <c r="CW109" s="264">
        <v>25</v>
      </c>
      <c r="CX109" s="264" t="s">
        <v>1094</v>
      </c>
      <c r="CY109" s="264">
        <v>2</v>
      </c>
      <c r="CZ109" s="264"/>
      <c r="DA109" s="264"/>
      <c r="DB109" s="264"/>
      <c r="DC109" s="264">
        <v>1</v>
      </c>
      <c r="DD109" s="264"/>
      <c r="DE109" s="264"/>
      <c r="DF109" s="264">
        <v>4</v>
      </c>
      <c r="DG109" s="264"/>
      <c r="DH109" s="264">
        <v>5</v>
      </c>
      <c r="DI109" s="264"/>
      <c r="DJ109" s="264"/>
      <c r="DK109" s="264"/>
      <c r="DL109" s="264"/>
      <c r="DM109" s="264"/>
      <c r="DN109" s="264"/>
      <c r="DO109" s="264">
        <v>1</v>
      </c>
      <c r="DP109" s="264"/>
      <c r="DQ109" s="264" t="s">
        <v>651</v>
      </c>
      <c r="DR109" s="264"/>
      <c r="DS109" s="264" t="s">
        <v>650</v>
      </c>
      <c r="DT109" s="264"/>
      <c r="DU109" s="264" t="s">
        <v>650</v>
      </c>
      <c r="DV109" s="264"/>
      <c r="DW109" s="264" t="s">
        <v>650</v>
      </c>
      <c r="DX109" s="264">
        <v>1</v>
      </c>
      <c r="DY109" s="264"/>
      <c r="DZ109" s="264"/>
      <c r="EA109" s="264"/>
      <c r="EB109" s="264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 t="s">
        <v>649</v>
      </c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 t="s">
        <v>652</v>
      </c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 t="s">
        <v>37</v>
      </c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 t="s">
        <v>653</v>
      </c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 t="s">
        <v>654</v>
      </c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 t="s">
        <v>649</v>
      </c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 t="s">
        <v>655</v>
      </c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 t="s">
        <v>37</v>
      </c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>
        <v>31</v>
      </c>
      <c r="D111" s="264"/>
      <c r="E111" s="264">
        <v>16</v>
      </c>
      <c r="F111" s="264"/>
      <c r="G111" s="264">
        <v>31</v>
      </c>
      <c r="H111" s="264"/>
      <c r="I111" s="264">
        <v>16</v>
      </c>
      <c r="J111" s="264"/>
      <c r="K111" s="264">
        <v>8</v>
      </c>
      <c r="L111" s="264"/>
      <c r="M111" s="264"/>
      <c r="N111" s="264" t="s">
        <v>667</v>
      </c>
      <c r="O111" s="264">
        <v>3</v>
      </c>
      <c r="P111" s="264"/>
      <c r="Q111" s="264">
        <v>1</v>
      </c>
      <c r="R111" s="264"/>
      <c r="S111" s="264">
        <v>2</v>
      </c>
      <c r="T111" s="264"/>
      <c r="U111" s="264" t="s">
        <v>714</v>
      </c>
      <c r="V111" s="264"/>
      <c r="W111" s="264"/>
      <c r="X111" s="264">
        <v>20</v>
      </c>
      <c r="Y111" s="264"/>
      <c r="Z111" s="264">
        <v>15</v>
      </c>
      <c r="AA111" s="264"/>
      <c r="AB111" s="264">
        <v>3</v>
      </c>
      <c r="AC111" s="264" t="s">
        <v>674</v>
      </c>
      <c r="AD111" s="264">
        <v>11</v>
      </c>
      <c r="AE111" s="264"/>
      <c r="AF111" s="264">
        <v>1</v>
      </c>
      <c r="AG111" s="264"/>
      <c r="AH111" s="264">
        <v>5</v>
      </c>
      <c r="AI111" s="66">
        <v>43662</v>
      </c>
      <c r="AJ111" s="264">
        <v>5</v>
      </c>
      <c r="AK111" s="264"/>
      <c r="AL111" s="264"/>
      <c r="AM111" s="264"/>
      <c r="AN111" s="264">
        <v>9</v>
      </c>
      <c r="AO111" s="264"/>
      <c r="AP111" s="264" t="s">
        <v>918</v>
      </c>
      <c r="AQ111" s="264">
        <v>1</v>
      </c>
      <c r="AR111" s="264"/>
      <c r="AS111" s="264">
        <v>4</v>
      </c>
      <c r="AT111" s="264"/>
      <c r="AU111" s="66">
        <v>43720</v>
      </c>
      <c r="AV111" s="264">
        <v>2</v>
      </c>
      <c r="AW111" s="264"/>
      <c r="AX111" s="264">
        <v>1</v>
      </c>
      <c r="AY111" s="264"/>
      <c r="AZ111" s="66">
        <v>43530</v>
      </c>
      <c r="BA111" s="264">
        <v>11</v>
      </c>
      <c r="BB111" s="264"/>
      <c r="BC111" s="264" t="s">
        <v>894</v>
      </c>
      <c r="BD111" s="264">
        <v>8</v>
      </c>
      <c r="BE111" s="264"/>
      <c r="BF111" s="264" t="s">
        <v>657</v>
      </c>
      <c r="BG111" s="264">
        <v>11</v>
      </c>
      <c r="BH111" s="264"/>
      <c r="BI111" s="264" t="s">
        <v>894</v>
      </c>
      <c r="BJ111" s="264"/>
      <c r="BK111" s="264"/>
      <c r="BL111" s="264"/>
      <c r="BM111" s="264"/>
      <c r="BN111" s="264"/>
      <c r="BO111" s="264"/>
      <c r="BP111" s="264"/>
      <c r="BQ111" s="264">
        <v>1</v>
      </c>
      <c r="BR111" s="264"/>
      <c r="BS111" s="264" t="s">
        <v>651</v>
      </c>
      <c r="BT111" s="264"/>
      <c r="BU111" s="264"/>
      <c r="BV111" s="264"/>
      <c r="BW111" s="264"/>
      <c r="BX111" s="264">
        <v>2</v>
      </c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>
        <v>3</v>
      </c>
      <c r="CK111" s="264">
        <v>2</v>
      </c>
      <c r="CL111" s="264">
        <v>2</v>
      </c>
      <c r="CM111" s="264" t="s">
        <v>657</v>
      </c>
      <c r="CN111" s="264"/>
      <c r="CO111" s="264"/>
      <c r="CP111" s="264"/>
      <c r="CQ111" s="264"/>
      <c r="CR111" s="264"/>
      <c r="CS111" s="264"/>
      <c r="CT111" s="264"/>
      <c r="CU111" s="264">
        <v>11</v>
      </c>
      <c r="CV111" s="264">
        <v>4</v>
      </c>
      <c r="CW111" s="264">
        <v>3</v>
      </c>
      <c r="CX111" s="264" t="s">
        <v>744</v>
      </c>
      <c r="CY111" s="264"/>
      <c r="CZ111" s="264"/>
      <c r="DA111" s="264"/>
      <c r="DB111" s="264"/>
      <c r="DC111" s="264"/>
      <c r="DD111" s="264"/>
      <c r="DE111" s="264"/>
      <c r="DF111" s="264">
        <v>4</v>
      </c>
      <c r="DG111" s="264"/>
      <c r="DH111" s="264">
        <v>3</v>
      </c>
      <c r="DI111" s="264"/>
      <c r="DJ111" s="264"/>
      <c r="DK111" s="264"/>
      <c r="DL111" s="264"/>
      <c r="DM111" s="264"/>
      <c r="DN111" s="264"/>
      <c r="DO111" s="264">
        <v>1</v>
      </c>
      <c r="DP111" s="264"/>
      <c r="DQ111" s="264" t="s">
        <v>651</v>
      </c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>
        <v>27</v>
      </c>
      <c r="D112" s="264" t="s">
        <v>1397</v>
      </c>
      <c r="E112" s="264">
        <v>12</v>
      </c>
      <c r="F112" s="264" t="s">
        <v>672</v>
      </c>
      <c r="G112" s="264">
        <v>27</v>
      </c>
      <c r="H112" s="264" t="s">
        <v>1397</v>
      </c>
      <c r="I112" s="264">
        <v>12</v>
      </c>
      <c r="J112" s="264" t="s">
        <v>672</v>
      </c>
      <c r="K112" s="264">
        <v>9</v>
      </c>
      <c r="L112" s="66">
        <v>43597</v>
      </c>
      <c r="M112" s="264"/>
      <c r="N112" s="264" t="s">
        <v>744</v>
      </c>
      <c r="O112" s="264">
        <v>3</v>
      </c>
      <c r="P112" s="264"/>
      <c r="Q112" s="264"/>
      <c r="R112" s="264" t="s">
        <v>650</v>
      </c>
      <c r="S112" s="264">
        <v>1</v>
      </c>
      <c r="T112" s="264" t="s">
        <v>678</v>
      </c>
      <c r="U112" s="264"/>
      <c r="V112" s="264"/>
      <c r="W112" s="264"/>
      <c r="X112" s="264">
        <v>12</v>
      </c>
      <c r="Y112" s="264" t="s">
        <v>706</v>
      </c>
      <c r="Z112" s="264">
        <v>8</v>
      </c>
      <c r="AA112" s="264" t="s">
        <v>962</v>
      </c>
      <c r="AB112" s="264">
        <v>3</v>
      </c>
      <c r="AC112" s="264" t="s">
        <v>794</v>
      </c>
      <c r="AD112" s="264">
        <v>15</v>
      </c>
      <c r="AE112" s="264" t="s">
        <v>717</v>
      </c>
      <c r="AF112" s="264">
        <v>4</v>
      </c>
      <c r="AG112" s="264" t="s">
        <v>731</v>
      </c>
      <c r="AH112" s="264">
        <v>6</v>
      </c>
      <c r="AI112" s="264" t="s">
        <v>696</v>
      </c>
      <c r="AJ112" s="264"/>
      <c r="AK112" s="264" t="s">
        <v>650</v>
      </c>
      <c r="AL112" s="264"/>
      <c r="AM112" s="264"/>
      <c r="AN112" s="264">
        <v>10</v>
      </c>
      <c r="AO112" s="66">
        <v>43476</v>
      </c>
      <c r="AP112" s="264" t="s">
        <v>834</v>
      </c>
      <c r="AQ112" s="264"/>
      <c r="AR112" s="264" t="s">
        <v>650</v>
      </c>
      <c r="AS112" s="264">
        <v>4</v>
      </c>
      <c r="AT112" s="264"/>
      <c r="AU112" s="66">
        <v>43691</v>
      </c>
      <c r="AV112" s="264">
        <v>1</v>
      </c>
      <c r="AW112" s="264" t="s">
        <v>678</v>
      </c>
      <c r="AX112" s="264">
        <v>1</v>
      </c>
      <c r="AY112" s="264"/>
      <c r="AZ112" s="66">
        <v>43532</v>
      </c>
      <c r="BA112" s="264">
        <v>11</v>
      </c>
      <c r="BB112" s="264"/>
      <c r="BC112" s="264" t="s">
        <v>777</v>
      </c>
      <c r="BD112" s="264">
        <v>7</v>
      </c>
      <c r="BE112" s="264" t="s">
        <v>785</v>
      </c>
      <c r="BF112" s="264" t="s">
        <v>725</v>
      </c>
      <c r="BG112" s="264">
        <v>11</v>
      </c>
      <c r="BH112" s="264"/>
      <c r="BI112" s="264" t="s">
        <v>777</v>
      </c>
      <c r="BJ112" s="264">
        <v>3</v>
      </c>
      <c r="BK112" s="264" t="s">
        <v>651</v>
      </c>
      <c r="BL112" s="264" t="s">
        <v>688</v>
      </c>
      <c r="BM112" s="264">
        <v>3</v>
      </c>
      <c r="BN112" s="264" t="s">
        <v>651</v>
      </c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>
        <v>1</v>
      </c>
      <c r="CL112" s="264"/>
      <c r="CM112" s="264" t="s">
        <v>651</v>
      </c>
      <c r="CN112" s="264"/>
      <c r="CO112" s="264"/>
      <c r="CP112" s="264"/>
      <c r="CQ112" s="264"/>
      <c r="CR112" s="264"/>
      <c r="CS112" s="264"/>
      <c r="CT112" s="264"/>
      <c r="CU112" s="264">
        <v>12</v>
      </c>
      <c r="CV112" s="264">
        <v>4</v>
      </c>
      <c r="CW112" s="264">
        <v>6</v>
      </c>
      <c r="CX112" s="264" t="s">
        <v>696</v>
      </c>
      <c r="CY112" s="264"/>
      <c r="CZ112" s="264"/>
      <c r="DA112" s="264"/>
      <c r="DB112" s="264"/>
      <c r="DC112" s="264"/>
      <c r="DD112" s="264"/>
      <c r="DE112" s="264"/>
      <c r="DF112" s="264">
        <v>3</v>
      </c>
      <c r="DG112" s="264"/>
      <c r="DH112" s="264">
        <v>2</v>
      </c>
      <c r="DI112" s="264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 t="s">
        <v>649</v>
      </c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 t="s">
        <v>652</v>
      </c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 t="s">
        <v>37</v>
      </c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 t="s">
        <v>653</v>
      </c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 t="s">
        <v>654</v>
      </c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 t="s">
        <v>649</v>
      </c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 t="s">
        <v>655</v>
      </c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 t="s">
        <v>37</v>
      </c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>
        <v>40</v>
      </c>
      <c r="D114" s="264"/>
      <c r="E114" s="264">
        <v>24</v>
      </c>
      <c r="F114" s="264"/>
      <c r="G114" s="264">
        <v>40</v>
      </c>
      <c r="H114" s="264"/>
      <c r="I114" s="264">
        <v>24</v>
      </c>
      <c r="J114" s="264"/>
      <c r="K114" s="264">
        <v>5</v>
      </c>
      <c r="L114" s="264"/>
      <c r="M114" s="264"/>
      <c r="N114" s="264" t="s">
        <v>1092</v>
      </c>
      <c r="O114" s="264">
        <v>9</v>
      </c>
      <c r="P114" s="264"/>
      <c r="Q114" s="264">
        <v>6</v>
      </c>
      <c r="R114" s="264"/>
      <c r="S114" s="264"/>
      <c r="T114" s="264"/>
      <c r="U114" s="264" t="s">
        <v>651</v>
      </c>
      <c r="V114" s="264"/>
      <c r="W114" s="264"/>
      <c r="X114" s="264">
        <v>20</v>
      </c>
      <c r="Y114" s="264"/>
      <c r="Z114" s="264">
        <v>13</v>
      </c>
      <c r="AA114" s="264"/>
      <c r="AB114" s="264">
        <v>1</v>
      </c>
      <c r="AC114" s="264" t="s">
        <v>679</v>
      </c>
      <c r="AD114" s="264">
        <v>20</v>
      </c>
      <c r="AE114" s="264"/>
      <c r="AF114" s="264">
        <v>11</v>
      </c>
      <c r="AG114" s="264"/>
      <c r="AH114" s="264">
        <v>4</v>
      </c>
      <c r="AI114" s="264" t="s">
        <v>901</v>
      </c>
      <c r="AJ114" s="264">
        <v>13</v>
      </c>
      <c r="AK114" s="264"/>
      <c r="AL114" s="264"/>
      <c r="AM114" s="264"/>
      <c r="AN114" s="264">
        <v>7</v>
      </c>
      <c r="AO114" s="264"/>
      <c r="AP114" s="66">
        <v>43602</v>
      </c>
      <c r="AQ114" s="264">
        <v>1</v>
      </c>
      <c r="AR114" s="264"/>
      <c r="AS114" s="264">
        <v>6</v>
      </c>
      <c r="AT114" s="264"/>
      <c r="AU114" s="264" t="s">
        <v>949</v>
      </c>
      <c r="AV114" s="264">
        <v>4</v>
      </c>
      <c r="AW114" s="264"/>
      <c r="AX114" s="264"/>
      <c r="AY114" s="264"/>
      <c r="AZ114" s="264"/>
      <c r="BA114" s="264">
        <v>18</v>
      </c>
      <c r="BB114" s="264"/>
      <c r="BC114" s="264" t="s">
        <v>734</v>
      </c>
      <c r="BD114" s="264">
        <v>14</v>
      </c>
      <c r="BE114" s="264"/>
      <c r="BF114" s="264" t="s">
        <v>725</v>
      </c>
      <c r="BG114" s="264">
        <v>19</v>
      </c>
      <c r="BH114" s="264"/>
      <c r="BI114" s="264" t="s">
        <v>1080</v>
      </c>
      <c r="BJ114" s="264"/>
      <c r="BK114" s="264"/>
      <c r="BL114" s="264"/>
      <c r="BM114" s="264"/>
      <c r="BN114" s="264"/>
      <c r="BO114" s="264"/>
      <c r="BP114" s="264"/>
      <c r="BQ114" s="264">
        <v>1</v>
      </c>
      <c r="BR114" s="264"/>
      <c r="BS114" s="264" t="s">
        <v>651</v>
      </c>
      <c r="BT114" s="264"/>
      <c r="BU114" s="264"/>
      <c r="BV114" s="264"/>
      <c r="BW114" s="264"/>
      <c r="BX114" s="264">
        <v>2</v>
      </c>
      <c r="BY114" s="264">
        <v>2</v>
      </c>
      <c r="BZ114" s="264"/>
      <c r="CA114" s="264" t="s">
        <v>651</v>
      </c>
      <c r="CB114" s="264"/>
      <c r="CC114" s="264"/>
      <c r="CD114" s="264"/>
      <c r="CE114" s="264"/>
      <c r="CF114" s="264"/>
      <c r="CG114" s="264">
        <v>1</v>
      </c>
      <c r="CH114" s="264"/>
      <c r="CI114" s="264" t="s">
        <v>651</v>
      </c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>
        <v>9</v>
      </c>
      <c r="CV114" s="264">
        <v>7</v>
      </c>
      <c r="CW114" s="264">
        <v>3</v>
      </c>
      <c r="CX114" s="264" t="s">
        <v>751</v>
      </c>
      <c r="CY114" s="264">
        <v>2</v>
      </c>
      <c r="CZ114" s="264">
        <v>2</v>
      </c>
      <c r="DA114" s="264"/>
      <c r="DB114" s="264" t="s">
        <v>651</v>
      </c>
      <c r="DC114" s="264"/>
      <c r="DD114" s="264"/>
      <c r="DE114" s="264"/>
      <c r="DF114" s="264">
        <v>4</v>
      </c>
      <c r="DG114" s="264">
        <v>1</v>
      </c>
      <c r="DH114" s="264">
        <v>2</v>
      </c>
      <c r="DI114" s="264" t="s">
        <v>714</v>
      </c>
      <c r="DJ114" s="264"/>
      <c r="DK114" s="264"/>
      <c r="DL114" s="264"/>
      <c r="DM114" s="264"/>
      <c r="DN114" s="264"/>
      <c r="DO114" s="264"/>
      <c r="DP114" s="264"/>
      <c r="DQ114" s="264"/>
      <c r="DR114" s="264">
        <v>1</v>
      </c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>
        <v>1</v>
      </c>
      <c r="ER114" s="264">
        <v>1</v>
      </c>
      <c r="ES114" s="264"/>
      <c r="ET114" s="264"/>
      <c r="EU114" s="264"/>
    </row>
    <row r="115" spans="1:151">
      <c r="A115" s="259"/>
      <c r="B115" s="1" t="s">
        <v>2</v>
      </c>
      <c r="C115" s="264">
        <v>53</v>
      </c>
      <c r="D115" s="264" t="s">
        <v>939</v>
      </c>
      <c r="E115" s="264">
        <v>20</v>
      </c>
      <c r="F115" s="264" t="s">
        <v>692</v>
      </c>
      <c r="G115" s="264">
        <v>53</v>
      </c>
      <c r="H115" s="264" t="s">
        <v>939</v>
      </c>
      <c r="I115" s="264">
        <v>20</v>
      </c>
      <c r="J115" s="264" t="s">
        <v>692</v>
      </c>
      <c r="K115" s="264">
        <v>8</v>
      </c>
      <c r="L115" s="264" t="s">
        <v>676</v>
      </c>
      <c r="M115" s="264">
        <v>1</v>
      </c>
      <c r="N115" s="264" t="s">
        <v>837</v>
      </c>
      <c r="O115" s="264">
        <v>10</v>
      </c>
      <c r="P115" s="66">
        <v>43476</v>
      </c>
      <c r="Q115" s="264">
        <v>4</v>
      </c>
      <c r="R115" s="264" t="s">
        <v>677</v>
      </c>
      <c r="S115" s="264"/>
      <c r="T115" s="264"/>
      <c r="U115" s="264" t="s">
        <v>651</v>
      </c>
      <c r="V115" s="264">
        <v>1</v>
      </c>
      <c r="W115" s="66">
        <v>43497</v>
      </c>
      <c r="X115" s="264">
        <v>25</v>
      </c>
      <c r="Y115" s="264" t="s">
        <v>688</v>
      </c>
      <c r="Z115" s="264">
        <v>10</v>
      </c>
      <c r="AA115" s="264" t="s">
        <v>666</v>
      </c>
      <c r="AB115" s="264">
        <v>1</v>
      </c>
      <c r="AC115" s="264" t="s">
        <v>850</v>
      </c>
      <c r="AD115" s="264">
        <v>28</v>
      </c>
      <c r="AE115" s="264" t="s">
        <v>696</v>
      </c>
      <c r="AF115" s="264">
        <v>10</v>
      </c>
      <c r="AG115" s="264" t="s">
        <v>1023</v>
      </c>
      <c r="AH115" s="264">
        <v>7</v>
      </c>
      <c r="AI115" s="264" t="s">
        <v>972</v>
      </c>
      <c r="AJ115" s="264">
        <v>13</v>
      </c>
      <c r="AK115" s="264"/>
      <c r="AL115" s="264">
        <v>1</v>
      </c>
      <c r="AM115" s="264" t="s">
        <v>651</v>
      </c>
      <c r="AN115" s="264">
        <v>6</v>
      </c>
      <c r="AO115" s="264" t="s">
        <v>673</v>
      </c>
      <c r="AP115" s="66">
        <v>43535</v>
      </c>
      <c r="AQ115" s="264"/>
      <c r="AR115" s="264" t="s">
        <v>650</v>
      </c>
      <c r="AS115" s="264">
        <v>5</v>
      </c>
      <c r="AT115" s="264" t="s">
        <v>692</v>
      </c>
      <c r="AU115" s="66">
        <v>43564</v>
      </c>
      <c r="AV115" s="264">
        <v>4</v>
      </c>
      <c r="AW115" s="264"/>
      <c r="AX115" s="264"/>
      <c r="AY115" s="264"/>
      <c r="AZ115" s="264"/>
      <c r="BA115" s="264">
        <v>10</v>
      </c>
      <c r="BB115" s="264" t="s">
        <v>754</v>
      </c>
      <c r="BC115" s="264" t="s">
        <v>657</v>
      </c>
      <c r="BD115" s="264">
        <v>7</v>
      </c>
      <c r="BE115" s="264" t="s">
        <v>678</v>
      </c>
      <c r="BF115" s="264" t="s">
        <v>1084</v>
      </c>
      <c r="BG115" s="264">
        <v>13</v>
      </c>
      <c r="BH115" s="264" t="s">
        <v>968</v>
      </c>
      <c r="BI115" s="264" t="s">
        <v>702</v>
      </c>
      <c r="BJ115" s="264"/>
      <c r="BK115" s="264"/>
      <c r="BL115" s="264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>
        <v>4</v>
      </c>
      <c r="BY115" s="264">
        <v>1</v>
      </c>
      <c r="BZ115" s="264"/>
      <c r="CA115" s="264" t="s">
        <v>651</v>
      </c>
      <c r="CB115" s="264">
        <v>1</v>
      </c>
      <c r="CC115" s="264"/>
      <c r="CD115" s="264"/>
      <c r="CE115" s="264"/>
      <c r="CF115" s="264"/>
      <c r="CG115" s="264"/>
      <c r="CH115" s="264"/>
      <c r="CI115" s="264"/>
      <c r="CJ115" s="264">
        <v>1</v>
      </c>
      <c r="CK115" s="264"/>
      <c r="CL115" s="264"/>
      <c r="CM115" s="264"/>
      <c r="CN115" s="264"/>
      <c r="CO115" s="264"/>
      <c r="CP115" s="264"/>
      <c r="CQ115" s="264">
        <v>2</v>
      </c>
      <c r="CR115" s="264"/>
      <c r="CS115" s="264">
        <v>1</v>
      </c>
      <c r="CT115" s="264"/>
      <c r="CU115" s="264">
        <v>9</v>
      </c>
      <c r="CV115" s="264">
        <v>5</v>
      </c>
      <c r="CW115" s="264">
        <v>2</v>
      </c>
      <c r="CX115" s="264" t="s">
        <v>837</v>
      </c>
      <c r="CY115" s="264"/>
      <c r="CZ115" s="264">
        <v>2</v>
      </c>
      <c r="DA115" s="264"/>
      <c r="DB115" s="264" t="s">
        <v>651</v>
      </c>
      <c r="DC115" s="264"/>
      <c r="DD115" s="264"/>
      <c r="DE115" s="264"/>
      <c r="DF115" s="264">
        <v>5</v>
      </c>
      <c r="DG115" s="264"/>
      <c r="DH115" s="264">
        <v>5</v>
      </c>
      <c r="DI115" s="264"/>
      <c r="DJ115" s="264"/>
      <c r="DK115" s="264"/>
      <c r="DL115" s="264"/>
      <c r="DM115" s="264"/>
      <c r="DN115" s="264"/>
      <c r="DO115" s="264"/>
      <c r="DP115" s="264"/>
      <c r="DQ115" s="264"/>
      <c r="DR115" s="264">
        <v>2</v>
      </c>
      <c r="DS115" s="264" t="s">
        <v>651</v>
      </c>
      <c r="DT115" s="264">
        <v>2</v>
      </c>
      <c r="DU115" s="264" t="s">
        <v>651</v>
      </c>
      <c r="DV115" s="264">
        <v>2</v>
      </c>
      <c r="DW115" s="264" t="s">
        <v>651</v>
      </c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 t="s">
        <v>649</v>
      </c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 t="s">
        <v>652</v>
      </c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 t="s">
        <v>37</v>
      </c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 t="s">
        <v>653</v>
      </c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 t="s">
        <v>654</v>
      </c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 t="s">
        <v>649</v>
      </c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 t="s">
        <v>655</v>
      </c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 t="s">
        <v>37</v>
      </c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>
        <v>31</v>
      </c>
      <c r="D117" s="264"/>
      <c r="E117" s="264">
        <v>19</v>
      </c>
      <c r="F117" s="264"/>
      <c r="G117" s="264">
        <v>31</v>
      </c>
      <c r="H117" s="264"/>
      <c r="I117" s="264">
        <v>19</v>
      </c>
      <c r="J117" s="264"/>
      <c r="K117" s="264">
        <v>2</v>
      </c>
      <c r="L117" s="264"/>
      <c r="M117" s="264"/>
      <c r="N117" s="264" t="s">
        <v>783</v>
      </c>
      <c r="O117" s="264">
        <v>9</v>
      </c>
      <c r="P117" s="264"/>
      <c r="Q117" s="264">
        <v>4</v>
      </c>
      <c r="R117" s="264"/>
      <c r="S117" s="264"/>
      <c r="T117" s="264"/>
      <c r="U117" s="264" t="s">
        <v>651</v>
      </c>
      <c r="V117" s="264"/>
      <c r="W117" s="264"/>
      <c r="X117" s="264">
        <v>14</v>
      </c>
      <c r="Y117" s="264"/>
      <c r="Z117" s="264">
        <v>11</v>
      </c>
      <c r="AA117" s="264"/>
      <c r="AB117" s="264">
        <v>1</v>
      </c>
      <c r="AC117" s="264" t="s">
        <v>777</v>
      </c>
      <c r="AD117" s="264">
        <v>17</v>
      </c>
      <c r="AE117" s="264"/>
      <c r="AF117" s="264">
        <v>8</v>
      </c>
      <c r="AG117" s="264"/>
      <c r="AH117" s="264">
        <v>1</v>
      </c>
      <c r="AI117" s="264" t="s">
        <v>675</v>
      </c>
      <c r="AJ117" s="264">
        <v>10</v>
      </c>
      <c r="AK117" s="264"/>
      <c r="AL117" s="264"/>
      <c r="AM117" s="264"/>
      <c r="AN117" s="264">
        <v>6</v>
      </c>
      <c r="AO117" s="264"/>
      <c r="AP117" s="66">
        <v>43574</v>
      </c>
      <c r="AQ117" s="264">
        <v>1</v>
      </c>
      <c r="AR117" s="264"/>
      <c r="AS117" s="264">
        <v>5</v>
      </c>
      <c r="AT117" s="264"/>
      <c r="AU117" s="66">
        <v>43481</v>
      </c>
      <c r="AV117" s="264">
        <v>4</v>
      </c>
      <c r="AW117" s="264"/>
      <c r="AX117" s="264"/>
      <c r="AY117" s="264"/>
      <c r="AZ117" s="264"/>
      <c r="BA117" s="264">
        <v>14</v>
      </c>
      <c r="BB117" s="264"/>
      <c r="BC117" s="264" t="s">
        <v>867</v>
      </c>
      <c r="BD117" s="264">
        <v>11</v>
      </c>
      <c r="BE117" s="264"/>
      <c r="BF117" s="264" t="s">
        <v>681</v>
      </c>
      <c r="BG117" s="264">
        <v>14</v>
      </c>
      <c r="BH117" s="264"/>
      <c r="BI117" s="264" t="s">
        <v>867</v>
      </c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>
        <v>2</v>
      </c>
      <c r="BY117" s="264">
        <v>2</v>
      </c>
      <c r="BZ117" s="264"/>
      <c r="CA117" s="264" t="s">
        <v>651</v>
      </c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>
        <v>7</v>
      </c>
      <c r="CV117" s="264">
        <v>5</v>
      </c>
      <c r="CW117" s="264">
        <v>2</v>
      </c>
      <c r="CX117" s="264" t="s">
        <v>837</v>
      </c>
      <c r="CY117" s="264">
        <v>2</v>
      </c>
      <c r="CZ117" s="264">
        <v>2</v>
      </c>
      <c r="DA117" s="264"/>
      <c r="DB117" s="264" t="s">
        <v>651</v>
      </c>
      <c r="DC117" s="264"/>
      <c r="DD117" s="264"/>
      <c r="DE117" s="264"/>
      <c r="DF117" s="264">
        <v>4</v>
      </c>
      <c r="DG117" s="264">
        <v>1</v>
      </c>
      <c r="DH117" s="264"/>
      <c r="DI117" s="264" t="s">
        <v>651</v>
      </c>
      <c r="DJ117" s="264"/>
      <c r="DK117" s="264"/>
      <c r="DL117" s="264"/>
      <c r="DM117" s="264"/>
      <c r="DN117" s="264"/>
      <c r="DO117" s="264"/>
      <c r="DP117" s="264"/>
      <c r="DQ117" s="264"/>
      <c r="DR117" s="264">
        <v>1</v>
      </c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>
        <v>1</v>
      </c>
      <c r="ER117" s="264">
        <v>1</v>
      </c>
      <c r="ES117" s="264"/>
      <c r="ET117" s="264"/>
      <c r="EU117" s="264"/>
    </row>
    <row r="118" spans="1:151">
      <c r="A118" s="256"/>
      <c r="B118" s="264" t="s">
        <v>465</v>
      </c>
      <c r="C118" s="264">
        <v>37</v>
      </c>
      <c r="D118" s="66">
        <v>43574</v>
      </c>
      <c r="E118" s="264">
        <v>17</v>
      </c>
      <c r="F118" s="264" t="s">
        <v>784</v>
      </c>
      <c r="G118" s="264">
        <v>37</v>
      </c>
      <c r="H118" s="66">
        <v>43574</v>
      </c>
      <c r="I118" s="264">
        <v>17</v>
      </c>
      <c r="J118" s="264" t="s">
        <v>784</v>
      </c>
      <c r="K118" s="264">
        <v>5</v>
      </c>
      <c r="L118" s="264" t="s">
        <v>722</v>
      </c>
      <c r="M118" s="264"/>
      <c r="N118" s="264" t="s">
        <v>658</v>
      </c>
      <c r="O118" s="264">
        <v>8</v>
      </c>
      <c r="P118" s="264" t="s">
        <v>875</v>
      </c>
      <c r="Q118" s="264">
        <v>4</v>
      </c>
      <c r="R118" s="264"/>
      <c r="S118" s="264"/>
      <c r="T118" s="264"/>
      <c r="U118" s="264" t="s">
        <v>651</v>
      </c>
      <c r="V118" s="264">
        <v>1</v>
      </c>
      <c r="W118" s="66">
        <v>43586</v>
      </c>
      <c r="X118" s="264">
        <v>16</v>
      </c>
      <c r="Y118" s="66">
        <v>43538</v>
      </c>
      <c r="Z118" s="264">
        <v>8</v>
      </c>
      <c r="AA118" s="264" t="s">
        <v>851</v>
      </c>
      <c r="AB118" s="264">
        <v>1</v>
      </c>
      <c r="AC118" s="264" t="s">
        <v>675</v>
      </c>
      <c r="AD118" s="264">
        <v>21</v>
      </c>
      <c r="AE118" s="66">
        <v>43608</v>
      </c>
      <c r="AF118" s="264">
        <v>9</v>
      </c>
      <c r="AG118" s="66">
        <v>43597</v>
      </c>
      <c r="AH118" s="264">
        <v>4</v>
      </c>
      <c r="AI118" s="264" t="s">
        <v>729</v>
      </c>
      <c r="AJ118" s="264">
        <v>9</v>
      </c>
      <c r="AK118" s="264" t="s">
        <v>758</v>
      </c>
      <c r="AL118" s="264">
        <v>1</v>
      </c>
      <c r="AM118" s="264" t="s">
        <v>651</v>
      </c>
      <c r="AN118" s="264">
        <v>2</v>
      </c>
      <c r="AO118" s="264" t="s">
        <v>743</v>
      </c>
      <c r="AP118" s="66">
        <v>43560</v>
      </c>
      <c r="AQ118" s="264"/>
      <c r="AR118" s="264" t="s">
        <v>650</v>
      </c>
      <c r="AS118" s="264">
        <v>2</v>
      </c>
      <c r="AT118" s="264" t="s">
        <v>723</v>
      </c>
      <c r="AU118" s="66">
        <v>43560</v>
      </c>
      <c r="AV118" s="264">
        <v>3</v>
      </c>
      <c r="AW118" s="264" t="s">
        <v>672</v>
      </c>
      <c r="AX118" s="264"/>
      <c r="AY118" s="264"/>
      <c r="AZ118" s="264"/>
      <c r="BA118" s="264">
        <v>9</v>
      </c>
      <c r="BB118" s="264" t="s">
        <v>927</v>
      </c>
      <c r="BC118" s="264" t="s">
        <v>965</v>
      </c>
      <c r="BD118" s="264">
        <v>5</v>
      </c>
      <c r="BE118" s="264" t="s">
        <v>738</v>
      </c>
      <c r="BF118" s="66">
        <v>43584</v>
      </c>
      <c r="BG118" s="264">
        <v>10</v>
      </c>
      <c r="BH118" s="264" t="s">
        <v>737</v>
      </c>
      <c r="BI118" s="264" t="s">
        <v>972</v>
      </c>
      <c r="BJ118" s="264"/>
      <c r="BK118" s="264"/>
      <c r="BL118" s="264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>
        <v>3</v>
      </c>
      <c r="BY118" s="264">
        <v>1</v>
      </c>
      <c r="BZ118" s="264"/>
      <c r="CA118" s="264" t="s">
        <v>651</v>
      </c>
      <c r="CB118" s="264">
        <v>1</v>
      </c>
      <c r="CC118" s="264"/>
      <c r="CD118" s="264"/>
      <c r="CE118" s="264"/>
      <c r="CF118" s="264"/>
      <c r="CG118" s="264"/>
      <c r="CH118" s="264"/>
      <c r="CI118" s="264"/>
      <c r="CJ118" s="264">
        <v>1</v>
      </c>
      <c r="CK118" s="264"/>
      <c r="CL118" s="264"/>
      <c r="CM118" s="264"/>
      <c r="CN118" s="264"/>
      <c r="CO118" s="264"/>
      <c r="CP118" s="264"/>
      <c r="CQ118" s="264">
        <v>2</v>
      </c>
      <c r="CR118" s="264"/>
      <c r="CS118" s="264"/>
      <c r="CT118" s="264"/>
      <c r="CU118" s="264">
        <v>7</v>
      </c>
      <c r="CV118" s="264">
        <v>5</v>
      </c>
      <c r="CW118" s="264">
        <v>1</v>
      </c>
      <c r="CX118" s="264" t="s">
        <v>674</v>
      </c>
      <c r="CY118" s="264"/>
      <c r="CZ118" s="264">
        <v>2</v>
      </c>
      <c r="DA118" s="264"/>
      <c r="DB118" s="264" t="s">
        <v>651</v>
      </c>
      <c r="DC118" s="264"/>
      <c r="DD118" s="264"/>
      <c r="DE118" s="264"/>
      <c r="DF118" s="264">
        <v>5</v>
      </c>
      <c r="DG118" s="264"/>
      <c r="DH118" s="264">
        <v>4</v>
      </c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>
        <v>2</v>
      </c>
      <c r="DS118" s="264" t="s">
        <v>651</v>
      </c>
      <c r="DT118" s="264">
        <v>2</v>
      </c>
      <c r="DU118" s="264" t="s">
        <v>651</v>
      </c>
      <c r="DV118" s="264">
        <v>2</v>
      </c>
      <c r="DW118" s="264" t="s">
        <v>651</v>
      </c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 t="s">
        <v>649</v>
      </c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 t="s">
        <v>652</v>
      </c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 t="s">
        <v>37</v>
      </c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 t="s">
        <v>653</v>
      </c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 t="s">
        <v>654</v>
      </c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 t="s">
        <v>649</v>
      </c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 t="s">
        <v>655</v>
      </c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 t="s">
        <v>37</v>
      </c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>
        <v>9</v>
      </c>
      <c r="D120" s="264"/>
      <c r="E120" s="264">
        <v>5</v>
      </c>
      <c r="F120" s="264"/>
      <c r="G120" s="264">
        <v>9</v>
      </c>
      <c r="H120" s="264"/>
      <c r="I120" s="264">
        <v>5</v>
      </c>
      <c r="J120" s="264"/>
      <c r="K120" s="264">
        <v>3</v>
      </c>
      <c r="L120" s="264"/>
      <c r="M120" s="264"/>
      <c r="N120" s="264" t="s">
        <v>713</v>
      </c>
      <c r="O120" s="264"/>
      <c r="P120" s="264"/>
      <c r="Q120" s="264">
        <v>2</v>
      </c>
      <c r="R120" s="264"/>
      <c r="S120" s="264"/>
      <c r="T120" s="264"/>
      <c r="U120" s="264" t="s">
        <v>651</v>
      </c>
      <c r="V120" s="264"/>
      <c r="W120" s="264"/>
      <c r="X120" s="264">
        <v>6</v>
      </c>
      <c r="Y120" s="264"/>
      <c r="Z120" s="264">
        <v>2</v>
      </c>
      <c r="AA120" s="264"/>
      <c r="AB120" s="264"/>
      <c r="AC120" s="264" t="s">
        <v>651</v>
      </c>
      <c r="AD120" s="264">
        <v>3</v>
      </c>
      <c r="AE120" s="264"/>
      <c r="AF120" s="264">
        <v>3</v>
      </c>
      <c r="AG120" s="264"/>
      <c r="AH120" s="264">
        <v>3</v>
      </c>
      <c r="AI120" s="264" t="s">
        <v>657</v>
      </c>
      <c r="AJ120" s="264">
        <v>3</v>
      </c>
      <c r="AK120" s="264"/>
      <c r="AL120" s="264"/>
      <c r="AM120" s="264"/>
      <c r="AN120" s="264">
        <v>1</v>
      </c>
      <c r="AO120" s="264"/>
      <c r="AP120" s="66">
        <v>43476</v>
      </c>
      <c r="AQ120" s="264"/>
      <c r="AR120" s="264"/>
      <c r="AS120" s="264">
        <v>1</v>
      </c>
      <c r="AT120" s="264"/>
      <c r="AU120" s="66">
        <v>43476</v>
      </c>
      <c r="AV120" s="264"/>
      <c r="AW120" s="264"/>
      <c r="AX120" s="264"/>
      <c r="AY120" s="264"/>
      <c r="AZ120" s="264"/>
      <c r="BA120" s="264">
        <v>4</v>
      </c>
      <c r="BB120" s="264"/>
      <c r="BC120" s="264" t="s">
        <v>693</v>
      </c>
      <c r="BD120" s="264">
        <v>3</v>
      </c>
      <c r="BE120" s="264"/>
      <c r="BF120" s="264" t="s">
        <v>676</v>
      </c>
      <c r="BG120" s="264">
        <v>5</v>
      </c>
      <c r="BH120" s="264"/>
      <c r="BI120" s="264" t="s">
        <v>651</v>
      </c>
      <c r="BJ120" s="264"/>
      <c r="BK120" s="264"/>
      <c r="BL120" s="264"/>
      <c r="BM120" s="264"/>
      <c r="BN120" s="264"/>
      <c r="BO120" s="264"/>
      <c r="BP120" s="264"/>
      <c r="BQ120" s="264">
        <v>1</v>
      </c>
      <c r="BR120" s="264"/>
      <c r="BS120" s="264" t="s">
        <v>651</v>
      </c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>
        <v>1</v>
      </c>
      <c r="CH120" s="264"/>
      <c r="CI120" s="264" t="s">
        <v>651</v>
      </c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>
        <v>2</v>
      </c>
      <c r="CV120" s="264">
        <v>2</v>
      </c>
      <c r="CW120" s="264">
        <v>1</v>
      </c>
      <c r="CX120" s="264" t="s">
        <v>667</v>
      </c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>
        <v>2</v>
      </c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>
        <v>16</v>
      </c>
      <c r="D121" s="264" t="s">
        <v>1006</v>
      </c>
      <c r="E121" s="264">
        <v>3</v>
      </c>
      <c r="F121" s="264" t="s">
        <v>706</v>
      </c>
      <c r="G121" s="264">
        <v>16</v>
      </c>
      <c r="H121" s="264" t="s">
        <v>1006</v>
      </c>
      <c r="I121" s="264">
        <v>3</v>
      </c>
      <c r="J121" s="264" t="s">
        <v>706</v>
      </c>
      <c r="K121" s="264">
        <v>3</v>
      </c>
      <c r="L121" s="264"/>
      <c r="M121" s="264">
        <v>1</v>
      </c>
      <c r="N121" s="264" t="s">
        <v>657</v>
      </c>
      <c r="O121" s="264">
        <v>2</v>
      </c>
      <c r="P121" s="264" t="s">
        <v>651</v>
      </c>
      <c r="Q121" s="264"/>
      <c r="R121" s="264" t="s">
        <v>650</v>
      </c>
      <c r="S121" s="264"/>
      <c r="T121" s="264"/>
      <c r="U121" s="264"/>
      <c r="V121" s="264"/>
      <c r="W121" s="264"/>
      <c r="X121" s="264">
        <v>9</v>
      </c>
      <c r="Y121" s="264" t="s">
        <v>657</v>
      </c>
      <c r="Z121" s="264">
        <v>2</v>
      </c>
      <c r="AA121" s="264"/>
      <c r="AB121" s="264"/>
      <c r="AC121" s="264" t="s">
        <v>651</v>
      </c>
      <c r="AD121" s="264">
        <v>7</v>
      </c>
      <c r="AE121" s="264" t="s">
        <v>746</v>
      </c>
      <c r="AF121" s="264">
        <v>1</v>
      </c>
      <c r="AG121" s="264" t="s">
        <v>743</v>
      </c>
      <c r="AH121" s="264">
        <v>3</v>
      </c>
      <c r="AI121" s="264" t="s">
        <v>688</v>
      </c>
      <c r="AJ121" s="264">
        <v>4</v>
      </c>
      <c r="AK121" s="264" t="s">
        <v>714</v>
      </c>
      <c r="AL121" s="264"/>
      <c r="AM121" s="264"/>
      <c r="AN121" s="264">
        <v>4</v>
      </c>
      <c r="AO121" s="264" t="s">
        <v>731</v>
      </c>
      <c r="AP121" s="264" t="s">
        <v>688</v>
      </c>
      <c r="AQ121" s="264"/>
      <c r="AR121" s="264"/>
      <c r="AS121" s="264">
        <v>3</v>
      </c>
      <c r="AT121" s="264" t="s">
        <v>697</v>
      </c>
      <c r="AU121" s="66">
        <v>43695</v>
      </c>
      <c r="AV121" s="264">
        <v>1</v>
      </c>
      <c r="AW121" s="264" t="s">
        <v>651</v>
      </c>
      <c r="AX121" s="264"/>
      <c r="AY121" s="264"/>
      <c r="AZ121" s="264"/>
      <c r="BA121" s="264">
        <v>1</v>
      </c>
      <c r="BB121" s="264" t="s">
        <v>728</v>
      </c>
      <c r="BC121" s="264" t="s">
        <v>714</v>
      </c>
      <c r="BD121" s="264">
        <v>2</v>
      </c>
      <c r="BE121" s="264" t="s">
        <v>677</v>
      </c>
      <c r="BF121" s="264" t="s">
        <v>667</v>
      </c>
      <c r="BG121" s="264">
        <v>3</v>
      </c>
      <c r="BH121" s="264" t="s">
        <v>706</v>
      </c>
      <c r="BI121" s="264" t="s">
        <v>651</v>
      </c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>
        <v>1</v>
      </c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>
        <v>1</v>
      </c>
      <c r="CT121" s="264"/>
      <c r="CU121" s="264">
        <v>2</v>
      </c>
      <c r="CV121" s="264"/>
      <c r="CW121" s="264">
        <v>1</v>
      </c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>
        <v>1</v>
      </c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 t="s">
        <v>649</v>
      </c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 t="s">
        <v>652</v>
      </c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 t="s">
        <v>37</v>
      </c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 t="s">
        <v>653</v>
      </c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 t="s">
        <v>654</v>
      </c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 t="s">
        <v>649</v>
      </c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 t="s">
        <v>655</v>
      </c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 t="s">
        <v>37</v>
      </c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>
        <v>20</v>
      </c>
      <c r="D123" s="264"/>
      <c r="E123" s="264">
        <v>20</v>
      </c>
      <c r="F123" s="264"/>
      <c r="G123" s="264">
        <v>20</v>
      </c>
      <c r="H123" s="264"/>
      <c r="I123" s="264">
        <v>20</v>
      </c>
      <c r="J123" s="264"/>
      <c r="K123" s="264">
        <v>2</v>
      </c>
      <c r="L123" s="264"/>
      <c r="M123" s="264"/>
      <c r="N123" s="264" t="s">
        <v>850</v>
      </c>
      <c r="O123" s="264">
        <v>2</v>
      </c>
      <c r="P123" s="264"/>
      <c r="Q123" s="264">
        <v>4</v>
      </c>
      <c r="R123" s="264"/>
      <c r="S123" s="264"/>
      <c r="T123" s="264"/>
      <c r="U123" s="264" t="s">
        <v>651</v>
      </c>
      <c r="V123" s="264"/>
      <c r="W123" s="264"/>
      <c r="X123" s="264">
        <v>12</v>
      </c>
      <c r="Y123" s="264"/>
      <c r="Z123" s="264">
        <v>11</v>
      </c>
      <c r="AA123" s="264"/>
      <c r="AB123" s="264"/>
      <c r="AC123" s="264" t="s">
        <v>651</v>
      </c>
      <c r="AD123" s="264">
        <v>8</v>
      </c>
      <c r="AE123" s="264"/>
      <c r="AF123" s="264">
        <v>9</v>
      </c>
      <c r="AG123" s="264"/>
      <c r="AH123" s="264">
        <v>2</v>
      </c>
      <c r="AI123" s="264" t="s">
        <v>684</v>
      </c>
      <c r="AJ123" s="264">
        <v>7</v>
      </c>
      <c r="AK123" s="264"/>
      <c r="AL123" s="264"/>
      <c r="AM123" s="264"/>
      <c r="AN123" s="264"/>
      <c r="AO123" s="264"/>
      <c r="AP123" s="264"/>
      <c r="AQ123" s="264"/>
      <c r="AR123" s="264"/>
      <c r="AS123" s="264"/>
      <c r="AT123" s="264"/>
      <c r="AU123" s="264"/>
      <c r="AV123" s="264">
        <v>2</v>
      </c>
      <c r="AW123" s="264"/>
      <c r="AX123" s="264"/>
      <c r="AY123" s="264"/>
      <c r="AZ123" s="264"/>
      <c r="BA123" s="264">
        <v>11</v>
      </c>
      <c r="BB123" s="264"/>
      <c r="BC123" s="264" t="s">
        <v>1051</v>
      </c>
      <c r="BD123" s="264">
        <v>12</v>
      </c>
      <c r="BE123" s="264"/>
      <c r="BF123" s="264" t="s">
        <v>676</v>
      </c>
      <c r="BG123" s="264">
        <v>12</v>
      </c>
      <c r="BH123" s="264"/>
      <c r="BI123" s="264" t="s">
        <v>676</v>
      </c>
      <c r="BJ123" s="264">
        <v>1</v>
      </c>
      <c r="BK123" s="264"/>
      <c r="BL123" s="264" t="s">
        <v>685</v>
      </c>
      <c r="BM123" s="264">
        <v>1</v>
      </c>
      <c r="BN123" s="264" t="s">
        <v>651</v>
      </c>
      <c r="BO123" s="264"/>
      <c r="BP123" s="264"/>
      <c r="BQ123" s="264">
        <v>2</v>
      </c>
      <c r="BR123" s="264"/>
      <c r="BS123" s="264" t="s">
        <v>651</v>
      </c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>
        <v>6</v>
      </c>
      <c r="CV123" s="264">
        <v>6</v>
      </c>
      <c r="CW123" s="264">
        <v>2</v>
      </c>
      <c r="CX123" s="264" t="s">
        <v>734</v>
      </c>
      <c r="CY123" s="264">
        <v>1</v>
      </c>
      <c r="CZ123" s="264"/>
      <c r="DA123" s="264"/>
      <c r="DB123" s="264"/>
      <c r="DC123" s="264"/>
      <c r="DD123" s="264"/>
      <c r="DE123" s="264"/>
      <c r="DF123" s="264">
        <v>1</v>
      </c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>
        <v>16</v>
      </c>
      <c r="D124" s="264" t="s">
        <v>669</v>
      </c>
      <c r="E124" s="264">
        <v>15</v>
      </c>
      <c r="F124" s="264" t="s">
        <v>672</v>
      </c>
      <c r="G124" s="264">
        <v>16</v>
      </c>
      <c r="H124" s="264" t="s">
        <v>669</v>
      </c>
      <c r="I124" s="264">
        <v>15</v>
      </c>
      <c r="J124" s="264" t="s">
        <v>672</v>
      </c>
      <c r="K124" s="264">
        <v>1</v>
      </c>
      <c r="L124" s="264" t="s">
        <v>678</v>
      </c>
      <c r="M124" s="264"/>
      <c r="N124" s="264" t="s">
        <v>1088</v>
      </c>
      <c r="O124" s="264">
        <v>4</v>
      </c>
      <c r="P124" s="264" t="s">
        <v>651</v>
      </c>
      <c r="Q124" s="264">
        <v>1</v>
      </c>
      <c r="R124" s="264" t="s">
        <v>728</v>
      </c>
      <c r="S124" s="264"/>
      <c r="T124" s="264"/>
      <c r="U124" s="264" t="s">
        <v>651</v>
      </c>
      <c r="V124" s="264"/>
      <c r="W124" s="264"/>
      <c r="X124" s="264">
        <v>9</v>
      </c>
      <c r="Y124" s="264" t="s">
        <v>672</v>
      </c>
      <c r="Z124" s="264">
        <v>10</v>
      </c>
      <c r="AA124" s="264" t="s">
        <v>1023</v>
      </c>
      <c r="AB124" s="264">
        <v>1</v>
      </c>
      <c r="AC124" s="264" t="s">
        <v>850</v>
      </c>
      <c r="AD124" s="264">
        <v>7</v>
      </c>
      <c r="AE124" s="264" t="s">
        <v>785</v>
      </c>
      <c r="AF124" s="264">
        <v>5</v>
      </c>
      <c r="AG124" s="264" t="s">
        <v>754</v>
      </c>
      <c r="AH124" s="264"/>
      <c r="AI124" s="264" t="s">
        <v>651</v>
      </c>
      <c r="AJ124" s="264">
        <v>8</v>
      </c>
      <c r="AK124" s="66">
        <v>43538</v>
      </c>
      <c r="AL124" s="264"/>
      <c r="AM124" s="264"/>
      <c r="AN124" s="264">
        <v>2</v>
      </c>
      <c r="AO124" s="264" t="s">
        <v>651</v>
      </c>
      <c r="AP124" s="66">
        <v>43597</v>
      </c>
      <c r="AQ124" s="264"/>
      <c r="AR124" s="264"/>
      <c r="AS124" s="264">
        <v>1</v>
      </c>
      <c r="AT124" s="264" t="s">
        <v>651</v>
      </c>
      <c r="AU124" s="66">
        <v>43530</v>
      </c>
      <c r="AV124" s="264">
        <v>2</v>
      </c>
      <c r="AW124" s="264"/>
      <c r="AX124" s="264"/>
      <c r="AY124" s="264"/>
      <c r="AZ124" s="264"/>
      <c r="BA124" s="264">
        <v>7</v>
      </c>
      <c r="BB124" s="264" t="s">
        <v>724</v>
      </c>
      <c r="BC124" s="264" t="s">
        <v>781</v>
      </c>
      <c r="BD124" s="264">
        <v>7</v>
      </c>
      <c r="BE124" s="264" t="s">
        <v>852</v>
      </c>
      <c r="BF124" s="264" t="s">
        <v>781</v>
      </c>
      <c r="BG124" s="264">
        <v>11</v>
      </c>
      <c r="BH124" s="264" t="s">
        <v>876</v>
      </c>
      <c r="BI124" s="264" t="s">
        <v>901</v>
      </c>
      <c r="BJ124" s="264"/>
      <c r="BK124" s="264" t="s">
        <v>650</v>
      </c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>
        <v>1</v>
      </c>
      <c r="BY124" s="264">
        <v>1</v>
      </c>
      <c r="BZ124" s="264"/>
      <c r="CA124" s="264" t="s">
        <v>651</v>
      </c>
      <c r="CB124" s="264">
        <v>1</v>
      </c>
      <c r="CC124" s="264">
        <v>1</v>
      </c>
      <c r="CD124" s="264"/>
      <c r="CE124" s="264" t="s">
        <v>651</v>
      </c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>
        <v>3</v>
      </c>
      <c r="CV124" s="264">
        <v>5</v>
      </c>
      <c r="CW124" s="264"/>
      <c r="CX124" s="264" t="s">
        <v>651</v>
      </c>
      <c r="CY124" s="264"/>
      <c r="CZ124" s="264"/>
      <c r="DA124" s="264"/>
      <c r="DB124" s="264"/>
      <c r="DC124" s="264"/>
      <c r="DD124" s="264"/>
      <c r="DE124" s="264"/>
      <c r="DF124" s="264">
        <v>1</v>
      </c>
      <c r="DG124" s="264">
        <v>1</v>
      </c>
      <c r="DH124" s="264"/>
      <c r="DI124" s="264" t="s">
        <v>651</v>
      </c>
      <c r="DJ124" s="264"/>
      <c r="DK124" s="264"/>
      <c r="DL124" s="264"/>
      <c r="DM124" s="264"/>
      <c r="DN124" s="264"/>
      <c r="DO124" s="264"/>
      <c r="DP124" s="264"/>
      <c r="DQ124" s="264"/>
      <c r="DR124" s="264">
        <v>2</v>
      </c>
      <c r="DS124" s="264" t="s">
        <v>651</v>
      </c>
      <c r="DT124" s="264">
        <v>2</v>
      </c>
      <c r="DU124" s="264" t="s">
        <v>651</v>
      </c>
      <c r="DV124" s="264">
        <v>2</v>
      </c>
      <c r="DW124" s="264" t="s">
        <v>651</v>
      </c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 t="s">
        <v>649</v>
      </c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 t="s">
        <v>652</v>
      </c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 t="s">
        <v>37</v>
      </c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 t="s">
        <v>653</v>
      </c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 t="s">
        <v>654</v>
      </c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 t="s">
        <v>649</v>
      </c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 t="s">
        <v>655</v>
      </c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 t="s">
        <v>37</v>
      </c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>
        <v>12</v>
      </c>
      <c r="D126" s="264"/>
      <c r="E126" s="264">
        <v>6</v>
      </c>
      <c r="F126" s="264"/>
      <c r="G126" s="264">
        <v>12</v>
      </c>
      <c r="H126" s="264"/>
      <c r="I126" s="264">
        <v>6</v>
      </c>
      <c r="J126" s="264"/>
      <c r="K126" s="264">
        <v>1</v>
      </c>
      <c r="L126" s="264"/>
      <c r="M126" s="264"/>
      <c r="N126" s="264" t="s">
        <v>660</v>
      </c>
      <c r="O126" s="264"/>
      <c r="P126" s="264"/>
      <c r="Q126" s="264"/>
      <c r="R126" s="264"/>
      <c r="S126" s="264"/>
      <c r="T126" s="264"/>
      <c r="U126" s="264"/>
      <c r="V126" s="264"/>
      <c r="W126" s="264"/>
      <c r="X126" s="264">
        <v>8</v>
      </c>
      <c r="Y126" s="264"/>
      <c r="Z126" s="264">
        <v>4</v>
      </c>
      <c r="AA126" s="264"/>
      <c r="AB126" s="264"/>
      <c r="AC126" s="264" t="s">
        <v>651</v>
      </c>
      <c r="AD126" s="264">
        <v>4</v>
      </c>
      <c r="AE126" s="264"/>
      <c r="AF126" s="264">
        <v>2</v>
      </c>
      <c r="AG126" s="264"/>
      <c r="AH126" s="264">
        <v>1</v>
      </c>
      <c r="AI126" s="264" t="s">
        <v>667</v>
      </c>
      <c r="AJ126" s="264">
        <v>5</v>
      </c>
      <c r="AK126" s="264"/>
      <c r="AL126" s="264"/>
      <c r="AM126" s="264"/>
      <c r="AN126" s="264"/>
      <c r="AO126" s="264"/>
      <c r="AP126" s="264"/>
      <c r="AQ126" s="264"/>
      <c r="AR126" s="264"/>
      <c r="AS126" s="264"/>
      <c r="AT126" s="264"/>
      <c r="AU126" s="264"/>
      <c r="AV126" s="264">
        <v>1</v>
      </c>
      <c r="AW126" s="264"/>
      <c r="AX126" s="264"/>
      <c r="AY126" s="264"/>
      <c r="AZ126" s="264"/>
      <c r="BA126" s="264">
        <v>5</v>
      </c>
      <c r="BB126" s="264"/>
      <c r="BC126" s="264" t="s">
        <v>674</v>
      </c>
      <c r="BD126" s="264">
        <v>6</v>
      </c>
      <c r="BE126" s="264"/>
      <c r="BF126" s="264" t="s">
        <v>651</v>
      </c>
      <c r="BG126" s="264">
        <v>4</v>
      </c>
      <c r="BH126" s="264"/>
      <c r="BI126" s="264" t="s">
        <v>667</v>
      </c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>
        <v>4</v>
      </c>
      <c r="CV126" s="264">
        <v>3</v>
      </c>
      <c r="CW126" s="264">
        <v>1</v>
      </c>
      <c r="CX126" s="264" t="s">
        <v>734</v>
      </c>
      <c r="CY126" s="264"/>
      <c r="CZ126" s="264"/>
      <c r="DA126" s="264"/>
      <c r="DB126" s="264"/>
      <c r="DC126" s="264"/>
      <c r="DD126" s="264"/>
      <c r="DE126" s="264"/>
      <c r="DF126" s="264">
        <v>1</v>
      </c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>
        <v>7</v>
      </c>
      <c r="D127" s="264" t="s">
        <v>852</v>
      </c>
      <c r="E127" s="264">
        <v>8</v>
      </c>
      <c r="F127" s="264" t="s">
        <v>714</v>
      </c>
      <c r="G127" s="264">
        <v>7</v>
      </c>
      <c r="H127" s="264" t="s">
        <v>852</v>
      </c>
      <c r="I127" s="264">
        <v>8</v>
      </c>
      <c r="J127" s="264" t="s">
        <v>714</v>
      </c>
      <c r="K127" s="264"/>
      <c r="L127" s="264" t="s">
        <v>650</v>
      </c>
      <c r="M127" s="264"/>
      <c r="N127" s="264" t="s">
        <v>651</v>
      </c>
      <c r="O127" s="264">
        <v>2</v>
      </c>
      <c r="P127" s="264" t="s">
        <v>651</v>
      </c>
      <c r="Q127" s="264"/>
      <c r="R127" s="264"/>
      <c r="S127" s="264"/>
      <c r="T127" s="264"/>
      <c r="U127" s="264"/>
      <c r="V127" s="264"/>
      <c r="W127" s="264"/>
      <c r="X127" s="264">
        <v>5</v>
      </c>
      <c r="Y127" s="264" t="s">
        <v>715</v>
      </c>
      <c r="Z127" s="264">
        <v>6</v>
      </c>
      <c r="AA127" s="264" t="s">
        <v>657</v>
      </c>
      <c r="AB127" s="264"/>
      <c r="AC127" s="264" t="s">
        <v>651</v>
      </c>
      <c r="AD127" s="264">
        <v>2</v>
      </c>
      <c r="AE127" s="264" t="s">
        <v>678</v>
      </c>
      <c r="AF127" s="264">
        <v>2</v>
      </c>
      <c r="AG127" s="264"/>
      <c r="AH127" s="264"/>
      <c r="AI127" s="264" t="s">
        <v>651</v>
      </c>
      <c r="AJ127" s="264">
        <v>4</v>
      </c>
      <c r="AK127" s="264" t="s">
        <v>669</v>
      </c>
      <c r="AL127" s="264"/>
      <c r="AM127" s="264"/>
      <c r="AN127" s="264">
        <v>2</v>
      </c>
      <c r="AO127" s="264" t="s">
        <v>651</v>
      </c>
      <c r="AP127" s="66">
        <v>43644</v>
      </c>
      <c r="AQ127" s="264"/>
      <c r="AR127" s="264"/>
      <c r="AS127" s="264">
        <v>1</v>
      </c>
      <c r="AT127" s="264" t="s">
        <v>651</v>
      </c>
      <c r="AU127" s="66">
        <v>43538</v>
      </c>
      <c r="AV127" s="264"/>
      <c r="AW127" s="264" t="s">
        <v>650</v>
      </c>
      <c r="AX127" s="264"/>
      <c r="AY127" s="264"/>
      <c r="AZ127" s="264"/>
      <c r="BA127" s="264">
        <v>4</v>
      </c>
      <c r="BB127" s="264" t="s">
        <v>669</v>
      </c>
      <c r="BC127" s="264" t="s">
        <v>657</v>
      </c>
      <c r="BD127" s="264">
        <v>4</v>
      </c>
      <c r="BE127" s="264" t="s">
        <v>677</v>
      </c>
      <c r="BF127" s="264" t="s">
        <v>657</v>
      </c>
      <c r="BG127" s="264">
        <v>4</v>
      </c>
      <c r="BH127" s="264"/>
      <c r="BI127" s="264" t="s">
        <v>657</v>
      </c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>
        <v>3</v>
      </c>
      <c r="CW127" s="264"/>
      <c r="CX127" s="264" t="s">
        <v>651</v>
      </c>
      <c r="CY127" s="264"/>
      <c r="CZ127" s="264"/>
      <c r="DA127" s="264"/>
      <c r="DB127" s="264"/>
      <c r="DC127" s="264"/>
      <c r="DD127" s="264"/>
      <c r="DE127" s="264"/>
      <c r="DF127" s="264">
        <v>1</v>
      </c>
      <c r="DG127" s="264">
        <v>1</v>
      </c>
      <c r="DH127" s="264"/>
      <c r="DI127" s="264" t="s">
        <v>651</v>
      </c>
      <c r="DJ127" s="264"/>
      <c r="DK127" s="264"/>
      <c r="DL127" s="264"/>
      <c r="DM127" s="264"/>
      <c r="DN127" s="264"/>
      <c r="DO127" s="264"/>
      <c r="DP127" s="264"/>
      <c r="DQ127" s="264"/>
      <c r="DR127" s="264">
        <v>2</v>
      </c>
      <c r="DS127" s="264" t="s">
        <v>651</v>
      </c>
      <c r="DT127" s="264">
        <v>2</v>
      </c>
      <c r="DU127" s="264" t="s">
        <v>651</v>
      </c>
      <c r="DV127" s="264">
        <v>2</v>
      </c>
      <c r="DW127" s="264" t="s">
        <v>651</v>
      </c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 t="s">
        <v>649</v>
      </c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 t="s">
        <v>652</v>
      </c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 t="s">
        <v>37</v>
      </c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 t="s">
        <v>653</v>
      </c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 t="s">
        <v>654</v>
      </c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 t="s">
        <v>649</v>
      </c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 t="s">
        <v>655</v>
      </c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 t="s">
        <v>37</v>
      </c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>
        <v>8</v>
      </c>
      <c r="D129" s="264"/>
      <c r="E129" s="264">
        <v>14</v>
      </c>
      <c r="F129" s="264"/>
      <c r="G129" s="264">
        <v>8</v>
      </c>
      <c r="H129" s="264"/>
      <c r="I129" s="264">
        <v>14</v>
      </c>
      <c r="J129" s="264"/>
      <c r="K129" s="264">
        <v>1</v>
      </c>
      <c r="L129" s="264"/>
      <c r="M129" s="264"/>
      <c r="N129" s="264" t="s">
        <v>760</v>
      </c>
      <c r="O129" s="264">
        <v>2</v>
      </c>
      <c r="P129" s="264"/>
      <c r="Q129" s="264">
        <v>4</v>
      </c>
      <c r="R129" s="264"/>
      <c r="S129" s="264"/>
      <c r="T129" s="264"/>
      <c r="U129" s="264" t="s">
        <v>651</v>
      </c>
      <c r="V129" s="264"/>
      <c r="W129" s="264"/>
      <c r="X129" s="264">
        <v>4</v>
      </c>
      <c r="Y129" s="264"/>
      <c r="Z129" s="264">
        <v>7</v>
      </c>
      <c r="AA129" s="264"/>
      <c r="AB129" s="264"/>
      <c r="AC129" s="264" t="s">
        <v>651</v>
      </c>
      <c r="AD129" s="264">
        <v>4</v>
      </c>
      <c r="AE129" s="264"/>
      <c r="AF129" s="264">
        <v>7</v>
      </c>
      <c r="AG129" s="264"/>
      <c r="AH129" s="264">
        <v>1</v>
      </c>
      <c r="AI129" s="264" t="s">
        <v>720</v>
      </c>
      <c r="AJ129" s="264">
        <v>2</v>
      </c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>
        <v>1</v>
      </c>
      <c r="AW129" s="264"/>
      <c r="AX129" s="264"/>
      <c r="AY129" s="264"/>
      <c r="AZ129" s="264"/>
      <c r="BA129" s="264">
        <v>6</v>
      </c>
      <c r="BB129" s="264"/>
      <c r="BC129" s="264" t="s">
        <v>772</v>
      </c>
      <c r="BD129" s="264">
        <v>6</v>
      </c>
      <c r="BE129" s="264"/>
      <c r="BF129" s="264" t="s">
        <v>772</v>
      </c>
      <c r="BG129" s="264">
        <v>8</v>
      </c>
      <c r="BH129" s="264"/>
      <c r="BI129" s="264" t="s">
        <v>744</v>
      </c>
      <c r="BJ129" s="264">
        <v>1</v>
      </c>
      <c r="BK129" s="264"/>
      <c r="BL129" s="66">
        <v>43472</v>
      </c>
      <c r="BM129" s="264">
        <v>1</v>
      </c>
      <c r="BN129" s="264" t="s">
        <v>651</v>
      </c>
      <c r="BO129" s="264"/>
      <c r="BP129" s="264"/>
      <c r="BQ129" s="264">
        <v>2</v>
      </c>
      <c r="BR129" s="264"/>
      <c r="BS129" s="264" t="s">
        <v>651</v>
      </c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>
        <v>2</v>
      </c>
      <c r="CV129" s="264">
        <v>3</v>
      </c>
      <c r="CW129" s="264">
        <v>1</v>
      </c>
      <c r="CX129" s="264" t="s">
        <v>734</v>
      </c>
      <c r="CY129" s="264">
        <v>1</v>
      </c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>
        <v>9</v>
      </c>
      <c r="D130" s="66">
        <v>43597</v>
      </c>
      <c r="E130" s="264">
        <v>7</v>
      </c>
      <c r="F130" s="264" t="s">
        <v>678</v>
      </c>
      <c r="G130" s="264">
        <v>9</v>
      </c>
      <c r="H130" s="66">
        <v>43597</v>
      </c>
      <c r="I130" s="264">
        <v>7</v>
      </c>
      <c r="J130" s="264" t="s">
        <v>678</v>
      </c>
      <c r="K130" s="264">
        <v>1</v>
      </c>
      <c r="L130" s="264"/>
      <c r="M130" s="264"/>
      <c r="N130" s="264" t="s">
        <v>720</v>
      </c>
      <c r="O130" s="264">
        <v>2</v>
      </c>
      <c r="P130" s="264"/>
      <c r="Q130" s="264">
        <v>1</v>
      </c>
      <c r="R130" s="264" t="s">
        <v>728</v>
      </c>
      <c r="S130" s="264"/>
      <c r="T130" s="264"/>
      <c r="U130" s="264" t="s">
        <v>651</v>
      </c>
      <c r="V130" s="264"/>
      <c r="W130" s="264"/>
      <c r="X130" s="264">
        <v>4</v>
      </c>
      <c r="Y130" s="264"/>
      <c r="Z130" s="264">
        <v>4</v>
      </c>
      <c r="AA130" s="264" t="s">
        <v>904</v>
      </c>
      <c r="AB130" s="264">
        <v>1</v>
      </c>
      <c r="AC130" s="264" t="s">
        <v>693</v>
      </c>
      <c r="AD130" s="264">
        <v>5</v>
      </c>
      <c r="AE130" s="264" t="s">
        <v>688</v>
      </c>
      <c r="AF130" s="264">
        <v>3</v>
      </c>
      <c r="AG130" s="264" t="s">
        <v>1050</v>
      </c>
      <c r="AH130" s="264"/>
      <c r="AI130" s="264" t="s">
        <v>651</v>
      </c>
      <c r="AJ130" s="264">
        <v>4</v>
      </c>
      <c r="AK130" s="264" t="s">
        <v>651</v>
      </c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>
        <v>2</v>
      </c>
      <c r="AW130" s="264" t="s">
        <v>651</v>
      </c>
      <c r="AX130" s="264"/>
      <c r="AY130" s="264"/>
      <c r="AZ130" s="264"/>
      <c r="BA130" s="264">
        <v>3</v>
      </c>
      <c r="BB130" s="264" t="s">
        <v>678</v>
      </c>
      <c r="BC130" s="264" t="s">
        <v>772</v>
      </c>
      <c r="BD130" s="264">
        <v>3</v>
      </c>
      <c r="BE130" s="264" t="s">
        <v>678</v>
      </c>
      <c r="BF130" s="264" t="s">
        <v>772</v>
      </c>
      <c r="BG130" s="264">
        <v>7</v>
      </c>
      <c r="BH130" s="264" t="s">
        <v>785</v>
      </c>
      <c r="BI130" s="264" t="s">
        <v>651</v>
      </c>
      <c r="BJ130" s="264"/>
      <c r="BK130" s="264" t="s">
        <v>650</v>
      </c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>
        <v>1</v>
      </c>
      <c r="BY130" s="264">
        <v>1</v>
      </c>
      <c r="BZ130" s="264"/>
      <c r="CA130" s="264" t="s">
        <v>651</v>
      </c>
      <c r="CB130" s="264">
        <v>1</v>
      </c>
      <c r="CC130" s="264">
        <v>1</v>
      </c>
      <c r="CD130" s="264"/>
      <c r="CE130" s="264" t="s">
        <v>651</v>
      </c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>
        <v>3</v>
      </c>
      <c r="CV130" s="264">
        <v>2</v>
      </c>
      <c r="CW130" s="264"/>
      <c r="CX130" s="264" t="s">
        <v>651</v>
      </c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 t="s">
        <v>649</v>
      </c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 t="s">
        <v>652</v>
      </c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 t="s">
        <v>37</v>
      </c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 t="s">
        <v>653</v>
      </c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 t="s">
        <v>654</v>
      </c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 t="s">
        <v>649</v>
      </c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 t="s">
        <v>655</v>
      </c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 t="s">
        <v>37</v>
      </c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>
        <v>133</v>
      </c>
      <c r="D132" s="264"/>
      <c r="E132" s="264">
        <v>72</v>
      </c>
      <c r="F132" s="264"/>
      <c r="G132" s="264">
        <v>133</v>
      </c>
      <c r="H132" s="264"/>
      <c r="I132" s="264">
        <v>72</v>
      </c>
      <c r="J132" s="264"/>
      <c r="K132" s="264">
        <v>58</v>
      </c>
      <c r="L132" s="264"/>
      <c r="M132" s="264">
        <v>2</v>
      </c>
      <c r="N132" s="264" t="s">
        <v>1089</v>
      </c>
      <c r="O132" s="264">
        <v>27</v>
      </c>
      <c r="P132" s="264"/>
      <c r="Q132" s="264">
        <v>18</v>
      </c>
      <c r="R132" s="264"/>
      <c r="S132" s="264">
        <v>18</v>
      </c>
      <c r="T132" s="264"/>
      <c r="U132" s="264" t="s">
        <v>657</v>
      </c>
      <c r="V132" s="264"/>
      <c r="W132" s="264"/>
      <c r="X132" s="264">
        <v>59</v>
      </c>
      <c r="Y132" s="264"/>
      <c r="Z132" s="264">
        <v>43</v>
      </c>
      <c r="AA132" s="264"/>
      <c r="AB132" s="264">
        <v>12</v>
      </c>
      <c r="AC132" s="264" t="s">
        <v>1195</v>
      </c>
      <c r="AD132" s="264">
        <v>74</v>
      </c>
      <c r="AE132" s="264"/>
      <c r="AF132" s="264">
        <v>29</v>
      </c>
      <c r="AG132" s="264"/>
      <c r="AH132" s="264">
        <v>46</v>
      </c>
      <c r="AI132" s="264" t="s">
        <v>887</v>
      </c>
      <c r="AJ132" s="264">
        <v>16</v>
      </c>
      <c r="AK132" s="264"/>
      <c r="AL132" s="264">
        <v>1</v>
      </c>
      <c r="AM132" s="264"/>
      <c r="AN132" s="264">
        <v>17</v>
      </c>
      <c r="AO132" s="264"/>
      <c r="AP132" s="66">
        <v>43689</v>
      </c>
      <c r="AQ132" s="264">
        <v>1</v>
      </c>
      <c r="AR132" s="264"/>
      <c r="AS132" s="264">
        <v>14</v>
      </c>
      <c r="AT132" s="264"/>
      <c r="AU132" s="66">
        <v>43595</v>
      </c>
      <c r="AV132" s="264">
        <v>6</v>
      </c>
      <c r="AW132" s="264"/>
      <c r="AX132" s="264"/>
      <c r="AY132" s="264"/>
      <c r="AZ132" s="264"/>
      <c r="BA132" s="264">
        <v>40</v>
      </c>
      <c r="BB132" s="264"/>
      <c r="BC132" s="264" t="s">
        <v>727</v>
      </c>
      <c r="BD132" s="264">
        <v>37</v>
      </c>
      <c r="BE132" s="264"/>
      <c r="BF132" s="264" t="s">
        <v>735</v>
      </c>
      <c r="BG132" s="264">
        <v>42</v>
      </c>
      <c r="BH132" s="264"/>
      <c r="BI132" s="264" t="s">
        <v>725</v>
      </c>
      <c r="BJ132" s="264">
        <v>3</v>
      </c>
      <c r="BK132" s="264"/>
      <c r="BL132" s="66">
        <v>43500</v>
      </c>
      <c r="BM132" s="264">
        <v>3</v>
      </c>
      <c r="BN132" s="264" t="s">
        <v>651</v>
      </c>
      <c r="BO132" s="264"/>
      <c r="BP132" s="264"/>
      <c r="BQ132" s="264"/>
      <c r="BR132" s="264"/>
      <c r="BS132" s="264"/>
      <c r="BT132" s="264">
        <v>1</v>
      </c>
      <c r="BU132" s="264">
        <v>1</v>
      </c>
      <c r="BV132" s="264"/>
      <c r="BW132" s="264" t="s">
        <v>651</v>
      </c>
      <c r="BX132" s="264">
        <v>2</v>
      </c>
      <c r="BY132" s="264">
        <v>3</v>
      </c>
      <c r="BZ132" s="264"/>
      <c r="CA132" s="264" t="s">
        <v>651</v>
      </c>
      <c r="CB132" s="264"/>
      <c r="CC132" s="264"/>
      <c r="CD132" s="264"/>
      <c r="CE132" s="264"/>
      <c r="CF132" s="264"/>
      <c r="CG132" s="264"/>
      <c r="CH132" s="264"/>
      <c r="CI132" s="264"/>
      <c r="CJ132" s="264">
        <v>1</v>
      </c>
      <c r="CK132" s="264"/>
      <c r="CL132" s="264"/>
      <c r="CM132" s="264"/>
      <c r="CN132" s="264"/>
      <c r="CO132" s="264"/>
      <c r="CP132" s="264"/>
      <c r="CQ132" s="264">
        <v>1</v>
      </c>
      <c r="CR132" s="264"/>
      <c r="CS132" s="264"/>
      <c r="CT132" s="264"/>
      <c r="CU132" s="264">
        <v>58</v>
      </c>
      <c r="CV132" s="264">
        <v>22</v>
      </c>
      <c r="CW132" s="264">
        <v>36</v>
      </c>
      <c r="CX132" s="264" t="s">
        <v>1056</v>
      </c>
      <c r="CY132" s="264">
        <v>2</v>
      </c>
      <c r="CZ132" s="264">
        <v>6</v>
      </c>
      <c r="DA132" s="264">
        <v>2</v>
      </c>
      <c r="DB132" s="264" t="s">
        <v>734</v>
      </c>
      <c r="DC132" s="264">
        <v>2</v>
      </c>
      <c r="DD132" s="264"/>
      <c r="DE132" s="264"/>
      <c r="DF132" s="264">
        <v>4</v>
      </c>
      <c r="DG132" s="264">
        <v>2</v>
      </c>
      <c r="DH132" s="264">
        <v>3</v>
      </c>
      <c r="DI132" s="264" t="s">
        <v>696</v>
      </c>
      <c r="DJ132" s="264"/>
      <c r="DK132" s="264"/>
      <c r="DL132" s="264"/>
      <c r="DM132" s="264"/>
      <c r="DN132" s="264">
        <v>4</v>
      </c>
      <c r="DO132" s="264"/>
      <c r="DP132" s="264"/>
      <c r="DQ132" s="264"/>
      <c r="DR132" s="264">
        <v>6</v>
      </c>
      <c r="DS132" s="264"/>
      <c r="DT132" s="264">
        <v>5</v>
      </c>
      <c r="DU132" s="264"/>
      <c r="DV132" s="264">
        <v>4</v>
      </c>
      <c r="DW132" s="264"/>
      <c r="DX132" s="264">
        <v>2</v>
      </c>
      <c r="DY132" s="264"/>
      <c r="DZ132" s="264">
        <v>1</v>
      </c>
      <c r="EA132" s="264"/>
      <c r="EB132" s="264">
        <v>1</v>
      </c>
      <c r="EC132" s="264"/>
      <c r="ED132" s="264" t="s">
        <v>789</v>
      </c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>
        <v>1</v>
      </c>
      <c r="ER132" s="264">
        <v>1</v>
      </c>
      <c r="ES132" s="264"/>
      <c r="ET132" s="264"/>
      <c r="EU132" s="264"/>
    </row>
    <row r="133" spans="1:151">
      <c r="A133" s="160"/>
      <c r="B133" s="264" t="s">
        <v>405</v>
      </c>
      <c r="C133" s="264">
        <v>130</v>
      </c>
      <c r="D133" s="264" t="s">
        <v>1391</v>
      </c>
      <c r="E133" s="264">
        <v>70</v>
      </c>
      <c r="F133" s="264" t="s">
        <v>1375</v>
      </c>
      <c r="G133" s="264">
        <v>130</v>
      </c>
      <c r="H133" s="264" t="s">
        <v>1391</v>
      </c>
      <c r="I133" s="264">
        <v>70</v>
      </c>
      <c r="J133" s="264" t="s">
        <v>1375</v>
      </c>
      <c r="K133" s="264">
        <v>50</v>
      </c>
      <c r="L133" s="264" t="s">
        <v>1032</v>
      </c>
      <c r="M133" s="264">
        <v>1</v>
      </c>
      <c r="N133" s="264" t="s">
        <v>725</v>
      </c>
      <c r="O133" s="264">
        <v>40</v>
      </c>
      <c r="P133" s="264" t="s">
        <v>1348</v>
      </c>
      <c r="Q133" s="264">
        <v>14</v>
      </c>
      <c r="R133" s="264" t="s">
        <v>782</v>
      </c>
      <c r="S133" s="264">
        <v>18</v>
      </c>
      <c r="T133" s="264"/>
      <c r="U133" s="264" t="s">
        <v>976</v>
      </c>
      <c r="V133" s="264">
        <v>3</v>
      </c>
      <c r="W133" s="264" t="s">
        <v>893</v>
      </c>
      <c r="X133" s="264">
        <v>47</v>
      </c>
      <c r="Y133" s="264" t="s">
        <v>803</v>
      </c>
      <c r="Z133" s="264">
        <v>41</v>
      </c>
      <c r="AA133" s="264" t="s">
        <v>1362</v>
      </c>
      <c r="AB133" s="264">
        <v>8</v>
      </c>
      <c r="AC133" s="264" t="s">
        <v>1403</v>
      </c>
      <c r="AD133" s="264">
        <v>83</v>
      </c>
      <c r="AE133" s="66">
        <v>43508</v>
      </c>
      <c r="AF133" s="264">
        <v>29</v>
      </c>
      <c r="AG133" s="264"/>
      <c r="AH133" s="264">
        <v>42</v>
      </c>
      <c r="AI133" s="264" t="s">
        <v>1308</v>
      </c>
      <c r="AJ133" s="264">
        <v>14</v>
      </c>
      <c r="AK133" s="264" t="s">
        <v>785</v>
      </c>
      <c r="AL133" s="264"/>
      <c r="AM133" s="264" t="s">
        <v>650</v>
      </c>
      <c r="AN133" s="264">
        <v>18</v>
      </c>
      <c r="AO133" s="66">
        <v>43713</v>
      </c>
      <c r="AP133" s="66">
        <v>43690</v>
      </c>
      <c r="AQ133" s="264">
        <v>1</v>
      </c>
      <c r="AR133" s="264"/>
      <c r="AS133" s="264">
        <v>16</v>
      </c>
      <c r="AT133" s="66">
        <v>43538</v>
      </c>
      <c r="AU133" s="66">
        <v>43536</v>
      </c>
      <c r="AV133" s="264">
        <v>5</v>
      </c>
      <c r="AW133" s="264" t="s">
        <v>692</v>
      </c>
      <c r="AX133" s="264">
        <v>4</v>
      </c>
      <c r="AY133" s="264" t="s">
        <v>651</v>
      </c>
      <c r="AZ133" s="66">
        <v>43651</v>
      </c>
      <c r="BA133" s="264">
        <v>37</v>
      </c>
      <c r="BB133" s="264" t="s">
        <v>1426</v>
      </c>
      <c r="BC133" s="264" t="s">
        <v>965</v>
      </c>
      <c r="BD133" s="264">
        <v>22</v>
      </c>
      <c r="BE133" s="264" t="s">
        <v>1384</v>
      </c>
      <c r="BF133" s="264" t="s">
        <v>1004</v>
      </c>
      <c r="BG133" s="264">
        <v>39</v>
      </c>
      <c r="BH133" s="264" t="s">
        <v>764</v>
      </c>
      <c r="BI133" s="264" t="s">
        <v>661</v>
      </c>
      <c r="BJ133" s="264">
        <v>9</v>
      </c>
      <c r="BK133" s="264" t="s">
        <v>697</v>
      </c>
      <c r="BL133" s="66">
        <v>43720</v>
      </c>
      <c r="BM133" s="264">
        <v>9</v>
      </c>
      <c r="BN133" s="264" t="s">
        <v>651</v>
      </c>
      <c r="BO133" s="264"/>
      <c r="BP133" s="264">
        <v>2</v>
      </c>
      <c r="BQ133" s="264"/>
      <c r="BR133" s="264"/>
      <c r="BS133" s="264"/>
      <c r="BT133" s="264"/>
      <c r="BU133" s="264"/>
      <c r="BV133" s="264"/>
      <c r="BW133" s="264"/>
      <c r="BX133" s="264">
        <v>5</v>
      </c>
      <c r="BY133" s="264"/>
      <c r="BZ133" s="264"/>
      <c r="CA133" s="264"/>
      <c r="CB133" s="264">
        <v>2</v>
      </c>
      <c r="CC133" s="264"/>
      <c r="CD133" s="264"/>
      <c r="CE133" s="264"/>
      <c r="CF133" s="264"/>
      <c r="CG133" s="264"/>
      <c r="CH133" s="264"/>
      <c r="CI133" s="264"/>
      <c r="CJ133" s="264"/>
      <c r="CK133" s="264">
        <v>1</v>
      </c>
      <c r="CL133" s="264"/>
      <c r="CM133" s="264" t="s">
        <v>651</v>
      </c>
      <c r="CN133" s="264"/>
      <c r="CO133" s="264"/>
      <c r="CP133" s="264"/>
      <c r="CQ133" s="264">
        <v>1</v>
      </c>
      <c r="CR133" s="264"/>
      <c r="CS133" s="264">
        <v>1</v>
      </c>
      <c r="CT133" s="264"/>
      <c r="CU133" s="264">
        <v>45</v>
      </c>
      <c r="CV133" s="264">
        <v>27</v>
      </c>
      <c r="CW133" s="264">
        <v>29</v>
      </c>
      <c r="CX133" s="264" t="s">
        <v>1128</v>
      </c>
      <c r="CY133" s="264">
        <v>3</v>
      </c>
      <c r="CZ133" s="264"/>
      <c r="DA133" s="264">
        <v>3</v>
      </c>
      <c r="DB133" s="264"/>
      <c r="DC133" s="264">
        <v>2</v>
      </c>
      <c r="DD133" s="264"/>
      <c r="DE133" s="264"/>
      <c r="DF133" s="264">
        <v>3</v>
      </c>
      <c r="DG133" s="264">
        <v>1</v>
      </c>
      <c r="DH133" s="264">
        <v>7</v>
      </c>
      <c r="DI133" s="66">
        <v>43597</v>
      </c>
      <c r="DJ133" s="264"/>
      <c r="DK133" s="264"/>
      <c r="DL133" s="264"/>
      <c r="DM133" s="264"/>
      <c r="DN133" s="264">
        <v>2</v>
      </c>
      <c r="DO133" s="264">
        <v>1</v>
      </c>
      <c r="DP133" s="264"/>
      <c r="DQ133" s="264" t="s">
        <v>651</v>
      </c>
      <c r="DR133" s="264">
        <v>2</v>
      </c>
      <c r="DS133" s="264" t="s">
        <v>743</v>
      </c>
      <c r="DT133" s="264">
        <v>2</v>
      </c>
      <c r="DU133" s="264" t="s">
        <v>723</v>
      </c>
      <c r="DV133" s="264">
        <v>2</v>
      </c>
      <c r="DW133" s="264" t="s">
        <v>678</v>
      </c>
      <c r="DX133" s="264"/>
      <c r="DY133" s="264" t="s">
        <v>650</v>
      </c>
      <c r="DZ133" s="264"/>
      <c r="EA133" s="264" t="s">
        <v>650</v>
      </c>
      <c r="EB133" s="264"/>
      <c r="EC133" s="264" t="s">
        <v>650</v>
      </c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 t="s">
        <v>649</v>
      </c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 t="s">
        <v>652</v>
      </c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 t="s">
        <v>37</v>
      </c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 t="s">
        <v>653</v>
      </c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 t="s">
        <v>654</v>
      </c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 t="s">
        <v>649</v>
      </c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 t="s">
        <v>655</v>
      </c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 t="s">
        <v>37</v>
      </c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>
        <v>108</v>
      </c>
      <c r="D135" s="264"/>
      <c r="E135" s="264">
        <v>61</v>
      </c>
      <c r="F135" s="264"/>
      <c r="G135" s="264">
        <v>108</v>
      </c>
      <c r="H135" s="264"/>
      <c r="I135" s="264">
        <v>61</v>
      </c>
      <c r="J135" s="264"/>
      <c r="K135" s="264">
        <v>51</v>
      </c>
      <c r="L135" s="264"/>
      <c r="M135" s="264">
        <v>2</v>
      </c>
      <c r="N135" s="264" t="s">
        <v>1067</v>
      </c>
      <c r="O135" s="264">
        <v>21</v>
      </c>
      <c r="P135" s="264"/>
      <c r="Q135" s="264">
        <v>18</v>
      </c>
      <c r="R135" s="264"/>
      <c r="S135" s="264">
        <v>16</v>
      </c>
      <c r="T135" s="264"/>
      <c r="U135" s="264" t="s">
        <v>965</v>
      </c>
      <c r="V135" s="264"/>
      <c r="W135" s="264"/>
      <c r="X135" s="264">
        <v>49</v>
      </c>
      <c r="Y135" s="264"/>
      <c r="Z135" s="264">
        <v>34</v>
      </c>
      <c r="AA135" s="264"/>
      <c r="AB135" s="264">
        <v>10</v>
      </c>
      <c r="AC135" s="264" t="s">
        <v>658</v>
      </c>
      <c r="AD135" s="264">
        <v>59</v>
      </c>
      <c r="AE135" s="264"/>
      <c r="AF135" s="264">
        <v>27</v>
      </c>
      <c r="AG135" s="264"/>
      <c r="AH135" s="264">
        <v>41</v>
      </c>
      <c r="AI135" s="264" t="s">
        <v>963</v>
      </c>
      <c r="AJ135" s="264">
        <v>13</v>
      </c>
      <c r="AK135" s="264"/>
      <c r="AL135" s="264">
        <v>1</v>
      </c>
      <c r="AM135" s="264"/>
      <c r="AN135" s="264">
        <v>13</v>
      </c>
      <c r="AO135" s="264"/>
      <c r="AP135" s="264" t="s">
        <v>1121</v>
      </c>
      <c r="AQ135" s="264"/>
      <c r="AR135" s="264"/>
      <c r="AS135" s="264">
        <v>10</v>
      </c>
      <c r="AT135" s="264"/>
      <c r="AU135" s="66">
        <v>43533</v>
      </c>
      <c r="AV135" s="264">
        <v>5</v>
      </c>
      <c r="AW135" s="264"/>
      <c r="AX135" s="264"/>
      <c r="AY135" s="264"/>
      <c r="AZ135" s="264"/>
      <c r="BA135" s="264">
        <v>36</v>
      </c>
      <c r="BB135" s="264"/>
      <c r="BC135" s="264" t="s">
        <v>771</v>
      </c>
      <c r="BD135" s="264">
        <v>29</v>
      </c>
      <c r="BE135" s="264"/>
      <c r="BF135" s="264" t="s">
        <v>983</v>
      </c>
      <c r="BG135" s="264">
        <v>36</v>
      </c>
      <c r="BH135" s="264"/>
      <c r="BI135" s="264" t="s">
        <v>771</v>
      </c>
      <c r="BJ135" s="264">
        <v>2</v>
      </c>
      <c r="BK135" s="264"/>
      <c r="BL135" s="66">
        <v>43527</v>
      </c>
      <c r="BM135" s="264">
        <v>2</v>
      </c>
      <c r="BN135" s="264" t="s">
        <v>651</v>
      </c>
      <c r="BO135" s="264"/>
      <c r="BP135" s="264"/>
      <c r="BQ135" s="264"/>
      <c r="BR135" s="264"/>
      <c r="BS135" s="264"/>
      <c r="BT135" s="264"/>
      <c r="BU135" s="264">
        <v>1</v>
      </c>
      <c r="BV135" s="264"/>
      <c r="BW135" s="264" t="s">
        <v>651</v>
      </c>
      <c r="BX135" s="264">
        <v>2</v>
      </c>
      <c r="BY135" s="264">
        <v>3</v>
      </c>
      <c r="BZ135" s="264"/>
      <c r="CA135" s="264" t="s">
        <v>651</v>
      </c>
      <c r="CB135" s="264"/>
      <c r="CC135" s="264"/>
      <c r="CD135" s="264"/>
      <c r="CE135" s="264"/>
      <c r="CF135" s="264"/>
      <c r="CG135" s="264"/>
      <c r="CH135" s="264"/>
      <c r="CI135" s="264"/>
      <c r="CJ135" s="264">
        <v>1</v>
      </c>
      <c r="CK135" s="264"/>
      <c r="CL135" s="264"/>
      <c r="CM135" s="264"/>
      <c r="CN135" s="264"/>
      <c r="CO135" s="264"/>
      <c r="CP135" s="264"/>
      <c r="CQ135" s="264">
        <v>1</v>
      </c>
      <c r="CR135" s="264"/>
      <c r="CS135" s="264"/>
      <c r="CT135" s="264"/>
      <c r="CU135" s="264">
        <v>48</v>
      </c>
      <c r="CV135" s="264">
        <v>18</v>
      </c>
      <c r="CW135" s="264">
        <v>30</v>
      </c>
      <c r="CX135" s="264" t="s">
        <v>742</v>
      </c>
      <c r="CY135" s="264">
        <v>2</v>
      </c>
      <c r="CZ135" s="264">
        <v>6</v>
      </c>
      <c r="DA135" s="264">
        <v>1</v>
      </c>
      <c r="DB135" s="264" t="s">
        <v>660</v>
      </c>
      <c r="DC135" s="264">
        <v>2</v>
      </c>
      <c r="DD135" s="264"/>
      <c r="DE135" s="264"/>
      <c r="DF135" s="264">
        <v>3</v>
      </c>
      <c r="DG135" s="264">
        <v>2</v>
      </c>
      <c r="DH135" s="264">
        <v>3</v>
      </c>
      <c r="DI135" s="264" t="s">
        <v>696</v>
      </c>
      <c r="DJ135" s="264"/>
      <c r="DK135" s="264"/>
      <c r="DL135" s="264"/>
      <c r="DM135" s="264"/>
      <c r="DN135" s="264">
        <v>3</v>
      </c>
      <c r="DO135" s="264"/>
      <c r="DP135" s="264"/>
      <c r="DQ135" s="264"/>
      <c r="DR135" s="264">
        <v>5</v>
      </c>
      <c r="DS135" s="264"/>
      <c r="DT135" s="264">
        <v>4</v>
      </c>
      <c r="DU135" s="264"/>
      <c r="DV135" s="264">
        <v>4</v>
      </c>
      <c r="DW135" s="264"/>
      <c r="DX135" s="264">
        <v>2</v>
      </c>
      <c r="DY135" s="264"/>
      <c r="DZ135" s="264">
        <v>1</v>
      </c>
      <c r="EA135" s="264"/>
      <c r="EB135" s="264">
        <v>1</v>
      </c>
      <c r="EC135" s="264"/>
      <c r="ED135" s="264" t="s">
        <v>789</v>
      </c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>
        <v>1</v>
      </c>
      <c r="ER135" s="264">
        <v>1</v>
      </c>
      <c r="ES135" s="264"/>
      <c r="ET135" s="264"/>
      <c r="EU135" s="264"/>
    </row>
    <row r="136" spans="1:151">
      <c r="A136" s="160"/>
      <c r="B136" s="264" t="s">
        <v>474</v>
      </c>
      <c r="C136" s="264">
        <v>108</v>
      </c>
      <c r="D136" s="264"/>
      <c r="E136" s="264">
        <v>55</v>
      </c>
      <c r="F136" s="264" t="s">
        <v>800</v>
      </c>
      <c r="G136" s="264">
        <v>108</v>
      </c>
      <c r="H136" s="264"/>
      <c r="I136" s="264">
        <v>55</v>
      </c>
      <c r="J136" s="264" t="s">
        <v>800</v>
      </c>
      <c r="K136" s="264">
        <v>45</v>
      </c>
      <c r="L136" s="264" t="s">
        <v>1007</v>
      </c>
      <c r="M136" s="264">
        <v>1</v>
      </c>
      <c r="N136" s="264" t="s">
        <v>1051</v>
      </c>
      <c r="O136" s="264">
        <v>36</v>
      </c>
      <c r="P136" s="264" t="s">
        <v>837</v>
      </c>
      <c r="Q136" s="264">
        <v>13</v>
      </c>
      <c r="R136" s="264" t="s">
        <v>865</v>
      </c>
      <c r="S136" s="264">
        <v>17</v>
      </c>
      <c r="T136" s="66">
        <v>43502</v>
      </c>
      <c r="U136" s="264" t="s">
        <v>1434</v>
      </c>
      <c r="V136" s="264">
        <v>3</v>
      </c>
      <c r="W136" s="264" t="s">
        <v>1336</v>
      </c>
      <c r="X136" s="264">
        <v>36</v>
      </c>
      <c r="Y136" s="264" t="s">
        <v>1045</v>
      </c>
      <c r="Z136" s="264">
        <v>30</v>
      </c>
      <c r="AA136" s="264" t="s">
        <v>1007</v>
      </c>
      <c r="AB136" s="264">
        <v>7</v>
      </c>
      <c r="AC136" s="264" t="s">
        <v>1118</v>
      </c>
      <c r="AD136" s="264">
        <v>72</v>
      </c>
      <c r="AE136" s="264" t="s">
        <v>1019</v>
      </c>
      <c r="AF136" s="264">
        <v>25</v>
      </c>
      <c r="AG136" s="264" t="s">
        <v>1309</v>
      </c>
      <c r="AH136" s="264">
        <v>38</v>
      </c>
      <c r="AI136" s="264" t="s">
        <v>963</v>
      </c>
      <c r="AJ136" s="264">
        <v>9</v>
      </c>
      <c r="AK136" s="264" t="s">
        <v>683</v>
      </c>
      <c r="AL136" s="264"/>
      <c r="AM136" s="264" t="s">
        <v>650</v>
      </c>
      <c r="AN136" s="264">
        <v>13</v>
      </c>
      <c r="AO136" s="264"/>
      <c r="AP136" s="264" t="s">
        <v>1121</v>
      </c>
      <c r="AQ136" s="264"/>
      <c r="AR136" s="264"/>
      <c r="AS136" s="264">
        <v>12</v>
      </c>
      <c r="AT136" s="264" t="s">
        <v>690</v>
      </c>
      <c r="AU136" s="66">
        <v>43476</v>
      </c>
      <c r="AV136" s="264">
        <v>3</v>
      </c>
      <c r="AW136" s="264" t="s">
        <v>706</v>
      </c>
      <c r="AX136" s="264">
        <v>3</v>
      </c>
      <c r="AY136" s="264" t="s">
        <v>651</v>
      </c>
      <c r="AZ136" s="66">
        <v>43590</v>
      </c>
      <c r="BA136" s="264">
        <v>30</v>
      </c>
      <c r="BB136" s="264" t="s">
        <v>692</v>
      </c>
      <c r="BC136" s="264" t="s">
        <v>1067</v>
      </c>
      <c r="BD136" s="264">
        <v>15</v>
      </c>
      <c r="BE136" s="264" t="s">
        <v>1421</v>
      </c>
      <c r="BF136" s="66">
        <v>43551</v>
      </c>
      <c r="BG136" s="264">
        <v>33</v>
      </c>
      <c r="BH136" s="264" t="s">
        <v>876</v>
      </c>
      <c r="BI136" s="264" t="s">
        <v>676</v>
      </c>
      <c r="BJ136" s="264">
        <v>9</v>
      </c>
      <c r="BK136" s="264" t="s">
        <v>907</v>
      </c>
      <c r="BL136" s="66">
        <v>43571</v>
      </c>
      <c r="BM136" s="264">
        <v>9</v>
      </c>
      <c r="BN136" s="264" t="s">
        <v>651</v>
      </c>
      <c r="BO136" s="264"/>
      <c r="BP136" s="264">
        <v>2</v>
      </c>
      <c r="BQ136" s="264"/>
      <c r="BR136" s="264"/>
      <c r="BS136" s="264"/>
      <c r="BT136" s="264"/>
      <c r="BU136" s="264"/>
      <c r="BV136" s="264"/>
      <c r="BW136" s="264"/>
      <c r="BX136" s="264">
        <v>5</v>
      </c>
      <c r="BY136" s="264"/>
      <c r="BZ136" s="264"/>
      <c r="CA136" s="264"/>
      <c r="CB136" s="264">
        <v>2</v>
      </c>
      <c r="CC136" s="264"/>
      <c r="CD136" s="264"/>
      <c r="CE136" s="264"/>
      <c r="CF136" s="264"/>
      <c r="CG136" s="264"/>
      <c r="CH136" s="264"/>
      <c r="CI136" s="264"/>
      <c r="CJ136" s="264"/>
      <c r="CK136" s="264">
        <v>1</v>
      </c>
      <c r="CL136" s="264"/>
      <c r="CM136" s="264" t="s">
        <v>651</v>
      </c>
      <c r="CN136" s="264"/>
      <c r="CO136" s="264"/>
      <c r="CP136" s="264"/>
      <c r="CQ136" s="264">
        <v>1</v>
      </c>
      <c r="CR136" s="264"/>
      <c r="CS136" s="264">
        <v>1</v>
      </c>
      <c r="CT136" s="264"/>
      <c r="CU136" s="264">
        <v>36</v>
      </c>
      <c r="CV136" s="264">
        <v>23</v>
      </c>
      <c r="CW136" s="264">
        <v>26</v>
      </c>
      <c r="CX136" s="264" t="s">
        <v>990</v>
      </c>
      <c r="CY136" s="264">
        <v>2</v>
      </c>
      <c r="CZ136" s="264"/>
      <c r="DA136" s="264">
        <v>3</v>
      </c>
      <c r="DB136" s="264"/>
      <c r="DC136" s="264">
        <v>2</v>
      </c>
      <c r="DD136" s="264"/>
      <c r="DE136" s="264"/>
      <c r="DF136" s="264">
        <v>3</v>
      </c>
      <c r="DG136" s="264">
        <v>1</v>
      </c>
      <c r="DH136" s="264">
        <v>6</v>
      </c>
      <c r="DI136" s="66">
        <v>43538</v>
      </c>
      <c r="DJ136" s="264"/>
      <c r="DK136" s="264"/>
      <c r="DL136" s="264"/>
      <c r="DM136" s="264"/>
      <c r="DN136" s="264">
        <v>2</v>
      </c>
      <c r="DO136" s="264">
        <v>1</v>
      </c>
      <c r="DP136" s="264"/>
      <c r="DQ136" s="264" t="s">
        <v>651</v>
      </c>
      <c r="DR136" s="264">
        <v>2</v>
      </c>
      <c r="DS136" s="264" t="s">
        <v>723</v>
      </c>
      <c r="DT136" s="264">
        <v>2</v>
      </c>
      <c r="DU136" s="264" t="s">
        <v>678</v>
      </c>
      <c r="DV136" s="264">
        <v>2</v>
      </c>
      <c r="DW136" s="264" t="s">
        <v>678</v>
      </c>
      <c r="DX136" s="264"/>
      <c r="DY136" s="264" t="s">
        <v>650</v>
      </c>
      <c r="DZ136" s="264"/>
      <c r="EA136" s="264" t="s">
        <v>650</v>
      </c>
      <c r="EB136" s="264"/>
      <c r="EC136" s="264" t="s">
        <v>650</v>
      </c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 t="s">
        <v>649</v>
      </c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 t="s">
        <v>652</v>
      </c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 t="s">
        <v>37</v>
      </c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 t="s">
        <v>653</v>
      </c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 t="s">
        <v>654</v>
      </c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 t="s">
        <v>649</v>
      </c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 t="s">
        <v>655</v>
      </c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 t="s">
        <v>37</v>
      </c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>
        <v>25</v>
      </c>
      <c r="D138" s="264"/>
      <c r="E138" s="264">
        <v>11</v>
      </c>
      <c r="F138" s="264"/>
      <c r="G138" s="264">
        <v>25</v>
      </c>
      <c r="H138" s="264"/>
      <c r="I138" s="264">
        <v>11</v>
      </c>
      <c r="J138" s="264"/>
      <c r="K138" s="264">
        <v>7</v>
      </c>
      <c r="L138" s="264"/>
      <c r="M138" s="264"/>
      <c r="N138" s="264" t="s">
        <v>975</v>
      </c>
      <c r="O138" s="264">
        <v>6</v>
      </c>
      <c r="P138" s="264"/>
      <c r="Q138" s="264"/>
      <c r="R138" s="264"/>
      <c r="S138" s="264">
        <v>2</v>
      </c>
      <c r="T138" s="264"/>
      <c r="U138" s="264"/>
      <c r="V138" s="264"/>
      <c r="W138" s="264"/>
      <c r="X138" s="264">
        <v>10</v>
      </c>
      <c r="Y138" s="264"/>
      <c r="Z138" s="264">
        <v>9</v>
      </c>
      <c r="AA138" s="264"/>
      <c r="AB138" s="264">
        <v>2</v>
      </c>
      <c r="AC138" s="264" t="s">
        <v>684</v>
      </c>
      <c r="AD138" s="264">
        <v>15</v>
      </c>
      <c r="AE138" s="264"/>
      <c r="AF138" s="264">
        <v>2</v>
      </c>
      <c r="AG138" s="264"/>
      <c r="AH138" s="264">
        <v>5</v>
      </c>
      <c r="AI138" s="66">
        <v>43644</v>
      </c>
      <c r="AJ138" s="264">
        <v>3</v>
      </c>
      <c r="AK138" s="264"/>
      <c r="AL138" s="264"/>
      <c r="AM138" s="264"/>
      <c r="AN138" s="264">
        <v>4</v>
      </c>
      <c r="AO138" s="264"/>
      <c r="AP138" s="264" t="s">
        <v>1015</v>
      </c>
      <c r="AQ138" s="264">
        <v>1</v>
      </c>
      <c r="AR138" s="264"/>
      <c r="AS138" s="264">
        <v>4</v>
      </c>
      <c r="AT138" s="264"/>
      <c r="AU138" s="264" t="s">
        <v>1015</v>
      </c>
      <c r="AV138" s="264">
        <v>1</v>
      </c>
      <c r="AW138" s="264"/>
      <c r="AX138" s="264"/>
      <c r="AY138" s="264"/>
      <c r="AZ138" s="264"/>
      <c r="BA138" s="264">
        <v>4</v>
      </c>
      <c r="BB138" s="264"/>
      <c r="BC138" s="264" t="s">
        <v>717</v>
      </c>
      <c r="BD138" s="264">
        <v>8</v>
      </c>
      <c r="BE138" s="264"/>
      <c r="BF138" s="264" t="s">
        <v>794</v>
      </c>
      <c r="BG138" s="264">
        <v>6</v>
      </c>
      <c r="BH138" s="264"/>
      <c r="BI138" s="264" t="s">
        <v>1067</v>
      </c>
      <c r="BJ138" s="264">
        <v>1</v>
      </c>
      <c r="BK138" s="264"/>
      <c r="BL138" s="66">
        <v>43474</v>
      </c>
      <c r="BM138" s="264">
        <v>1</v>
      </c>
      <c r="BN138" s="264" t="s">
        <v>651</v>
      </c>
      <c r="BO138" s="264"/>
      <c r="BP138" s="264"/>
      <c r="BQ138" s="264"/>
      <c r="BR138" s="264"/>
      <c r="BS138" s="264"/>
      <c r="BT138" s="264">
        <v>1</v>
      </c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>
        <v>10</v>
      </c>
      <c r="CV138" s="264">
        <v>4</v>
      </c>
      <c r="CW138" s="264">
        <v>6</v>
      </c>
      <c r="CX138" s="264" t="s">
        <v>696</v>
      </c>
      <c r="CY138" s="264"/>
      <c r="CZ138" s="264"/>
      <c r="DA138" s="264">
        <v>1</v>
      </c>
      <c r="DB138" s="264"/>
      <c r="DC138" s="264"/>
      <c r="DD138" s="264"/>
      <c r="DE138" s="264"/>
      <c r="DF138" s="264">
        <v>1</v>
      </c>
      <c r="DG138" s="264"/>
      <c r="DH138" s="264"/>
      <c r="DI138" s="264"/>
      <c r="DJ138" s="264"/>
      <c r="DK138" s="264"/>
      <c r="DL138" s="264"/>
      <c r="DM138" s="264"/>
      <c r="DN138" s="264">
        <v>1</v>
      </c>
      <c r="DO138" s="264"/>
      <c r="DP138" s="264"/>
      <c r="DQ138" s="264"/>
      <c r="DR138" s="264">
        <v>1</v>
      </c>
      <c r="DS138" s="264"/>
      <c r="DT138" s="264">
        <v>1</v>
      </c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>
        <v>22</v>
      </c>
      <c r="D139" s="264" t="s">
        <v>1353</v>
      </c>
      <c r="E139" s="264">
        <v>15</v>
      </c>
      <c r="F139" s="264" t="s">
        <v>717</v>
      </c>
      <c r="G139" s="264">
        <v>22</v>
      </c>
      <c r="H139" s="264" t="s">
        <v>1353</v>
      </c>
      <c r="I139" s="264">
        <v>15</v>
      </c>
      <c r="J139" s="264" t="s">
        <v>717</v>
      </c>
      <c r="K139" s="264">
        <v>5</v>
      </c>
      <c r="L139" s="264" t="s">
        <v>737</v>
      </c>
      <c r="M139" s="264"/>
      <c r="N139" s="264" t="s">
        <v>734</v>
      </c>
      <c r="O139" s="264">
        <v>4</v>
      </c>
      <c r="P139" s="264" t="s">
        <v>677</v>
      </c>
      <c r="Q139" s="264">
        <v>1</v>
      </c>
      <c r="R139" s="264" t="s">
        <v>651</v>
      </c>
      <c r="S139" s="264">
        <v>1</v>
      </c>
      <c r="T139" s="264" t="s">
        <v>678</v>
      </c>
      <c r="U139" s="264" t="s">
        <v>657</v>
      </c>
      <c r="V139" s="264"/>
      <c r="W139" s="264"/>
      <c r="X139" s="264">
        <v>11</v>
      </c>
      <c r="Y139" s="264" t="s">
        <v>704</v>
      </c>
      <c r="Z139" s="264">
        <v>11</v>
      </c>
      <c r="AA139" s="66">
        <v>43518</v>
      </c>
      <c r="AB139" s="264">
        <v>1</v>
      </c>
      <c r="AC139" s="264" t="s">
        <v>777</v>
      </c>
      <c r="AD139" s="264">
        <v>11</v>
      </c>
      <c r="AE139" s="264" t="s">
        <v>883</v>
      </c>
      <c r="AF139" s="264">
        <v>4</v>
      </c>
      <c r="AG139" s="264" t="s">
        <v>651</v>
      </c>
      <c r="AH139" s="264">
        <v>4</v>
      </c>
      <c r="AI139" s="264" t="s">
        <v>657</v>
      </c>
      <c r="AJ139" s="264">
        <v>5</v>
      </c>
      <c r="AK139" s="264" t="s">
        <v>667</v>
      </c>
      <c r="AL139" s="264"/>
      <c r="AM139" s="264"/>
      <c r="AN139" s="264">
        <v>5</v>
      </c>
      <c r="AO139" s="264" t="s">
        <v>688</v>
      </c>
      <c r="AP139" s="66">
        <v>43668</v>
      </c>
      <c r="AQ139" s="264">
        <v>1</v>
      </c>
      <c r="AR139" s="264"/>
      <c r="AS139" s="264">
        <v>4</v>
      </c>
      <c r="AT139" s="264"/>
      <c r="AU139" s="66">
        <v>43514</v>
      </c>
      <c r="AV139" s="264">
        <v>2</v>
      </c>
      <c r="AW139" s="264" t="s">
        <v>651</v>
      </c>
      <c r="AX139" s="264">
        <v>1</v>
      </c>
      <c r="AY139" s="264" t="s">
        <v>651</v>
      </c>
      <c r="AZ139" s="66">
        <v>43652</v>
      </c>
      <c r="BA139" s="264">
        <v>7</v>
      </c>
      <c r="BB139" s="264" t="s">
        <v>734</v>
      </c>
      <c r="BC139" s="264" t="s">
        <v>781</v>
      </c>
      <c r="BD139" s="264">
        <v>7</v>
      </c>
      <c r="BE139" s="264" t="s">
        <v>785</v>
      </c>
      <c r="BF139" s="264" t="s">
        <v>781</v>
      </c>
      <c r="BG139" s="264">
        <v>6</v>
      </c>
      <c r="BH139" s="264"/>
      <c r="BI139" s="264" t="s">
        <v>696</v>
      </c>
      <c r="BJ139" s="264"/>
      <c r="BK139" s="264" t="s">
        <v>650</v>
      </c>
      <c r="BL139" s="264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>
        <v>9</v>
      </c>
      <c r="CV139" s="264">
        <v>4</v>
      </c>
      <c r="CW139" s="264">
        <v>3</v>
      </c>
      <c r="CX139" s="264" t="s">
        <v>744</v>
      </c>
      <c r="CY139" s="264">
        <v>1</v>
      </c>
      <c r="CZ139" s="264"/>
      <c r="DA139" s="264"/>
      <c r="DB139" s="264"/>
      <c r="DC139" s="264"/>
      <c r="DD139" s="264"/>
      <c r="DE139" s="264"/>
      <c r="DF139" s="264"/>
      <c r="DG139" s="264"/>
      <c r="DH139" s="264">
        <v>1</v>
      </c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 t="s">
        <v>650</v>
      </c>
      <c r="DT139" s="264"/>
      <c r="DU139" s="264" t="s">
        <v>650</v>
      </c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 t="s">
        <v>649</v>
      </c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 t="s">
        <v>652</v>
      </c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 t="s">
        <v>37</v>
      </c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 t="s">
        <v>653</v>
      </c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 t="s">
        <v>654</v>
      </c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 t="s">
        <v>649</v>
      </c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 t="s">
        <v>655</v>
      </c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 t="s">
        <v>37</v>
      </c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>
        <v>76</v>
      </c>
      <c r="D141" s="264"/>
      <c r="E141" s="264">
        <v>48</v>
      </c>
      <c r="F141" s="264"/>
      <c r="G141" s="264">
        <v>76</v>
      </c>
      <c r="H141" s="264"/>
      <c r="I141" s="264">
        <v>48</v>
      </c>
      <c r="J141" s="264"/>
      <c r="K141" s="264">
        <v>36</v>
      </c>
      <c r="L141" s="264"/>
      <c r="M141" s="264"/>
      <c r="N141" s="264" t="s">
        <v>744</v>
      </c>
      <c r="O141" s="264">
        <v>9</v>
      </c>
      <c r="P141" s="264"/>
      <c r="Q141" s="264">
        <v>13</v>
      </c>
      <c r="R141" s="264"/>
      <c r="S141" s="264">
        <v>10</v>
      </c>
      <c r="T141" s="264"/>
      <c r="U141" s="264" t="s">
        <v>656</v>
      </c>
      <c r="V141" s="264"/>
      <c r="W141" s="264"/>
      <c r="X141" s="264">
        <v>32</v>
      </c>
      <c r="Y141" s="264"/>
      <c r="Z141" s="264">
        <v>25</v>
      </c>
      <c r="AA141" s="264"/>
      <c r="AB141" s="264">
        <v>11</v>
      </c>
      <c r="AC141" s="264" t="s">
        <v>984</v>
      </c>
      <c r="AD141" s="264">
        <v>44</v>
      </c>
      <c r="AE141" s="264"/>
      <c r="AF141" s="264">
        <v>23</v>
      </c>
      <c r="AG141" s="264"/>
      <c r="AH141" s="264">
        <v>25</v>
      </c>
      <c r="AI141" s="264" t="s">
        <v>980</v>
      </c>
      <c r="AJ141" s="264">
        <v>9</v>
      </c>
      <c r="AK141" s="264"/>
      <c r="AL141" s="264"/>
      <c r="AM141" s="264"/>
      <c r="AN141" s="264">
        <v>23</v>
      </c>
      <c r="AO141" s="264"/>
      <c r="AP141" s="66">
        <v>43554</v>
      </c>
      <c r="AQ141" s="264">
        <v>2</v>
      </c>
      <c r="AR141" s="264"/>
      <c r="AS141" s="264">
        <v>12</v>
      </c>
      <c r="AT141" s="264"/>
      <c r="AU141" s="66">
        <v>43692</v>
      </c>
      <c r="AV141" s="264">
        <v>4</v>
      </c>
      <c r="AW141" s="264"/>
      <c r="AX141" s="264">
        <v>1</v>
      </c>
      <c r="AY141" s="264"/>
      <c r="AZ141" s="66">
        <v>43467</v>
      </c>
      <c r="BA141" s="264">
        <v>34</v>
      </c>
      <c r="BB141" s="264"/>
      <c r="BC141" s="264" t="s">
        <v>1057</v>
      </c>
      <c r="BD141" s="264">
        <v>24</v>
      </c>
      <c r="BE141" s="264"/>
      <c r="BF141" s="264" t="s">
        <v>657</v>
      </c>
      <c r="BG141" s="264">
        <v>38</v>
      </c>
      <c r="BH141" s="264"/>
      <c r="BI141" s="264" t="s">
        <v>1080</v>
      </c>
      <c r="BJ141" s="264">
        <v>10</v>
      </c>
      <c r="BK141" s="264"/>
      <c r="BL141" s="66">
        <v>43697</v>
      </c>
      <c r="BM141" s="264">
        <v>10</v>
      </c>
      <c r="BN141" s="264" t="s">
        <v>651</v>
      </c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>
        <v>3</v>
      </c>
      <c r="BY141" s="264">
        <v>2</v>
      </c>
      <c r="BZ141" s="264"/>
      <c r="CA141" s="264" t="s">
        <v>651</v>
      </c>
      <c r="CB141" s="264"/>
      <c r="CC141" s="264"/>
      <c r="CD141" s="264"/>
      <c r="CE141" s="264"/>
      <c r="CF141" s="264"/>
      <c r="CG141" s="264"/>
      <c r="CH141" s="264"/>
      <c r="CI141" s="264"/>
      <c r="CJ141" s="264">
        <v>2</v>
      </c>
      <c r="CK141" s="264">
        <v>5</v>
      </c>
      <c r="CL141" s="264">
        <v>2</v>
      </c>
      <c r="CM141" s="264" t="s">
        <v>837</v>
      </c>
      <c r="CN141" s="264"/>
      <c r="CO141" s="264"/>
      <c r="CP141" s="264" t="s">
        <v>651</v>
      </c>
      <c r="CQ141" s="264">
        <v>2</v>
      </c>
      <c r="CR141" s="264">
        <v>5</v>
      </c>
      <c r="CS141" s="264"/>
      <c r="CT141" s="264" t="s">
        <v>651</v>
      </c>
      <c r="CU141" s="264">
        <v>31</v>
      </c>
      <c r="CV141" s="264">
        <v>13</v>
      </c>
      <c r="CW141" s="264">
        <v>16</v>
      </c>
      <c r="CX141" s="264" t="s">
        <v>805</v>
      </c>
      <c r="CY141" s="264">
        <v>1</v>
      </c>
      <c r="CZ141" s="264">
        <v>2</v>
      </c>
      <c r="DA141" s="264"/>
      <c r="DB141" s="264" t="s">
        <v>651</v>
      </c>
      <c r="DC141" s="264"/>
      <c r="DD141" s="264"/>
      <c r="DE141" s="264"/>
      <c r="DF141" s="264">
        <v>8</v>
      </c>
      <c r="DG141" s="264">
        <v>3</v>
      </c>
      <c r="DH141" s="264">
        <v>8</v>
      </c>
      <c r="DI141" s="66">
        <v>43551</v>
      </c>
      <c r="DJ141" s="264"/>
      <c r="DK141" s="264"/>
      <c r="DL141" s="264"/>
      <c r="DM141" s="264"/>
      <c r="DN141" s="264">
        <v>4</v>
      </c>
      <c r="DO141" s="264">
        <v>4</v>
      </c>
      <c r="DP141" s="264"/>
      <c r="DQ141" s="264" t="s">
        <v>651</v>
      </c>
      <c r="DR141" s="264">
        <v>2</v>
      </c>
      <c r="DS141" s="264"/>
      <c r="DT141" s="264">
        <v>2</v>
      </c>
      <c r="DU141" s="264"/>
      <c r="DV141" s="264">
        <v>1</v>
      </c>
      <c r="DW141" s="264"/>
      <c r="DX141" s="264">
        <v>1</v>
      </c>
      <c r="DY141" s="264"/>
      <c r="DZ141" s="264">
        <v>1</v>
      </c>
      <c r="EA141" s="264"/>
      <c r="EB141" s="264">
        <v>1</v>
      </c>
      <c r="EC141" s="264"/>
      <c r="ED141" s="264" t="s">
        <v>651</v>
      </c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>
        <v>1</v>
      </c>
      <c r="EO141" s="264">
        <v>1</v>
      </c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>
        <v>91</v>
      </c>
      <c r="D142" s="66">
        <v>43665</v>
      </c>
      <c r="E142" s="264">
        <v>48</v>
      </c>
      <c r="F142" s="264"/>
      <c r="G142" s="264">
        <v>91</v>
      </c>
      <c r="H142" s="66">
        <v>43665</v>
      </c>
      <c r="I142" s="264">
        <v>48</v>
      </c>
      <c r="J142" s="264"/>
      <c r="K142" s="264">
        <v>40</v>
      </c>
      <c r="L142" s="66">
        <v>43476</v>
      </c>
      <c r="M142" s="264"/>
      <c r="N142" s="264" t="s">
        <v>1067</v>
      </c>
      <c r="O142" s="264">
        <v>10</v>
      </c>
      <c r="P142" s="66">
        <v>43476</v>
      </c>
      <c r="Q142" s="264">
        <v>8</v>
      </c>
      <c r="R142" s="264" t="s">
        <v>698</v>
      </c>
      <c r="S142" s="264">
        <v>11</v>
      </c>
      <c r="T142" s="264" t="s">
        <v>704</v>
      </c>
      <c r="U142" s="264" t="s">
        <v>955</v>
      </c>
      <c r="V142" s="264"/>
      <c r="W142" s="264"/>
      <c r="X142" s="264">
        <v>37</v>
      </c>
      <c r="Y142" s="66">
        <v>43631</v>
      </c>
      <c r="Z142" s="264">
        <v>29</v>
      </c>
      <c r="AA142" s="264" t="s">
        <v>1015</v>
      </c>
      <c r="AB142" s="264">
        <v>5</v>
      </c>
      <c r="AC142" s="264" t="s">
        <v>1407</v>
      </c>
      <c r="AD142" s="264">
        <v>54</v>
      </c>
      <c r="AE142" s="66">
        <v>43668</v>
      </c>
      <c r="AF142" s="264">
        <v>19</v>
      </c>
      <c r="AG142" s="264" t="s">
        <v>663</v>
      </c>
      <c r="AH142" s="264">
        <v>35</v>
      </c>
      <c r="AI142" s="264" t="s">
        <v>1424</v>
      </c>
      <c r="AJ142" s="264">
        <v>5</v>
      </c>
      <c r="AK142" s="264" t="s">
        <v>754</v>
      </c>
      <c r="AL142" s="264"/>
      <c r="AM142" s="264"/>
      <c r="AN142" s="264">
        <v>22</v>
      </c>
      <c r="AO142" s="264" t="s">
        <v>1422</v>
      </c>
      <c r="AP142" s="66">
        <v>43520</v>
      </c>
      <c r="AQ142" s="264">
        <v>1</v>
      </c>
      <c r="AR142" s="264" t="s">
        <v>678</v>
      </c>
      <c r="AS142" s="264">
        <v>13</v>
      </c>
      <c r="AT142" s="66">
        <v>43532</v>
      </c>
      <c r="AU142" s="66">
        <v>43538</v>
      </c>
      <c r="AV142" s="264">
        <v>4</v>
      </c>
      <c r="AW142" s="264"/>
      <c r="AX142" s="264"/>
      <c r="AY142" s="264" t="s">
        <v>650</v>
      </c>
      <c r="AZ142" s="264"/>
      <c r="BA142" s="264">
        <v>31</v>
      </c>
      <c r="BB142" s="264" t="s">
        <v>966</v>
      </c>
      <c r="BC142" s="264" t="s">
        <v>1131</v>
      </c>
      <c r="BD142" s="264">
        <v>14</v>
      </c>
      <c r="BE142" s="264" t="s">
        <v>852</v>
      </c>
      <c r="BF142" s="264" t="s">
        <v>823</v>
      </c>
      <c r="BG142" s="264">
        <v>26</v>
      </c>
      <c r="BH142" s="264" t="s">
        <v>968</v>
      </c>
      <c r="BI142" s="264" t="s">
        <v>888</v>
      </c>
      <c r="BJ142" s="264">
        <v>5</v>
      </c>
      <c r="BK142" s="264" t="s">
        <v>678</v>
      </c>
      <c r="BL142" s="66">
        <v>43565</v>
      </c>
      <c r="BM142" s="264">
        <v>2</v>
      </c>
      <c r="BN142" s="264" t="s">
        <v>696</v>
      </c>
      <c r="BO142" s="264">
        <v>2</v>
      </c>
      <c r="BP142" s="264"/>
      <c r="BQ142" s="264">
        <v>1</v>
      </c>
      <c r="BR142" s="264"/>
      <c r="BS142" s="264" t="s">
        <v>651</v>
      </c>
      <c r="BT142" s="264">
        <v>1</v>
      </c>
      <c r="BU142" s="264"/>
      <c r="BV142" s="264"/>
      <c r="BW142" s="264"/>
      <c r="BX142" s="264"/>
      <c r="BY142" s="264">
        <v>1</v>
      </c>
      <c r="BZ142" s="264">
        <v>1</v>
      </c>
      <c r="CA142" s="264" t="s">
        <v>657</v>
      </c>
      <c r="CB142" s="264"/>
      <c r="CC142" s="264"/>
      <c r="CD142" s="264"/>
      <c r="CE142" s="264"/>
      <c r="CF142" s="264"/>
      <c r="CG142" s="264"/>
      <c r="CH142" s="264"/>
      <c r="CI142" s="264"/>
      <c r="CJ142" s="264">
        <v>4</v>
      </c>
      <c r="CK142" s="264">
        <v>1</v>
      </c>
      <c r="CL142" s="264">
        <v>1</v>
      </c>
      <c r="CM142" s="264" t="s">
        <v>657</v>
      </c>
      <c r="CN142" s="264"/>
      <c r="CO142" s="264"/>
      <c r="CP142" s="264"/>
      <c r="CQ142" s="264"/>
      <c r="CR142" s="264"/>
      <c r="CS142" s="264">
        <v>1</v>
      </c>
      <c r="CT142" s="264"/>
      <c r="CU142" s="264">
        <v>43</v>
      </c>
      <c r="CV142" s="264">
        <v>17</v>
      </c>
      <c r="CW142" s="264">
        <v>19</v>
      </c>
      <c r="CX142" s="264" t="s">
        <v>977</v>
      </c>
      <c r="CY142" s="264"/>
      <c r="CZ142" s="264">
        <v>2</v>
      </c>
      <c r="DA142" s="264">
        <v>1</v>
      </c>
      <c r="DB142" s="264" t="s">
        <v>667</v>
      </c>
      <c r="DC142" s="264"/>
      <c r="DD142" s="264"/>
      <c r="DE142" s="264"/>
      <c r="DF142" s="264">
        <v>15</v>
      </c>
      <c r="DG142" s="264"/>
      <c r="DH142" s="264">
        <v>8</v>
      </c>
      <c r="DI142" s="264"/>
      <c r="DJ142" s="264">
        <v>1</v>
      </c>
      <c r="DK142" s="264">
        <v>1</v>
      </c>
      <c r="DL142" s="264"/>
      <c r="DM142" s="264" t="s">
        <v>651</v>
      </c>
      <c r="DN142" s="264">
        <v>2</v>
      </c>
      <c r="DO142" s="264">
        <v>1</v>
      </c>
      <c r="DP142" s="264">
        <v>1</v>
      </c>
      <c r="DQ142" s="264" t="s">
        <v>657</v>
      </c>
      <c r="DR142" s="264">
        <v>4</v>
      </c>
      <c r="DS142" s="264" t="s">
        <v>651</v>
      </c>
      <c r="DT142" s="264">
        <v>4</v>
      </c>
      <c r="DU142" s="264" t="s">
        <v>651</v>
      </c>
      <c r="DV142" s="264"/>
      <c r="DW142" s="264" t="s">
        <v>650</v>
      </c>
      <c r="DX142" s="264">
        <v>2</v>
      </c>
      <c r="DY142" s="264" t="s">
        <v>651</v>
      </c>
      <c r="DZ142" s="264">
        <v>2</v>
      </c>
      <c r="EA142" s="264" t="s">
        <v>651</v>
      </c>
      <c r="EB142" s="264">
        <v>1</v>
      </c>
      <c r="EC142" s="264"/>
      <c r="ED142" s="264" t="s">
        <v>651</v>
      </c>
      <c r="EE142" s="264">
        <v>1</v>
      </c>
      <c r="EF142" s="264"/>
      <c r="EG142" s="264"/>
      <c r="EH142" s="264"/>
      <c r="EI142" s="264"/>
      <c r="EJ142" s="264"/>
      <c r="EK142" s="264"/>
      <c r="EL142" s="264">
        <v>1</v>
      </c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 t="s">
        <v>649</v>
      </c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 t="s">
        <v>652</v>
      </c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 t="s">
        <v>37</v>
      </c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 t="s">
        <v>653</v>
      </c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 t="s">
        <v>654</v>
      </c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 t="s">
        <v>649</v>
      </c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 t="s">
        <v>655</v>
      </c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 t="s">
        <v>37</v>
      </c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>
        <v>16</v>
      </c>
      <c r="D144" s="264"/>
      <c r="E144" s="264">
        <v>15</v>
      </c>
      <c r="F144" s="264"/>
      <c r="G144" s="264">
        <v>16</v>
      </c>
      <c r="H144" s="264"/>
      <c r="I144" s="264">
        <v>15</v>
      </c>
      <c r="J144" s="264"/>
      <c r="K144" s="264">
        <v>4</v>
      </c>
      <c r="L144" s="264"/>
      <c r="M144" s="264"/>
      <c r="N144" s="264" t="s">
        <v>1099</v>
      </c>
      <c r="O144" s="264">
        <v>2</v>
      </c>
      <c r="P144" s="264"/>
      <c r="Q144" s="264">
        <v>5</v>
      </c>
      <c r="R144" s="264"/>
      <c r="S144" s="264">
        <v>1</v>
      </c>
      <c r="T144" s="264"/>
      <c r="U144" s="264" t="s">
        <v>674</v>
      </c>
      <c r="V144" s="264"/>
      <c r="W144" s="264"/>
      <c r="X144" s="264">
        <v>12</v>
      </c>
      <c r="Y144" s="264"/>
      <c r="Z144" s="264">
        <v>7</v>
      </c>
      <c r="AA144" s="264"/>
      <c r="AB144" s="264">
        <v>1</v>
      </c>
      <c r="AC144" s="264" t="s">
        <v>720</v>
      </c>
      <c r="AD144" s="264">
        <v>4</v>
      </c>
      <c r="AE144" s="264"/>
      <c r="AF144" s="264">
        <v>8</v>
      </c>
      <c r="AG144" s="264"/>
      <c r="AH144" s="264">
        <v>3</v>
      </c>
      <c r="AI144" s="264" t="s">
        <v>794</v>
      </c>
      <c r="AJ144" s="264">
        <v>5</v>
      </c>
      <c r="AK144" s="264"/>
      <c r="AL144" s="264"/>
      <c r="AM144" s="264"/>
      <c r="AN144" s="264">
        <v>4</v>
      </c>
      <c r="AO144" s="264"/>
      <c r="AP144" s="264" t="s">
        <v>688</v>
      </c>
      <c r="AQ144" s="264"/>
      <c r="AR144" s="264"/>
      <c r="AS144" s="264">
        <v>3</v>
      </c>
      <c r="AT144" s="264"/>
      <c r="AU144" s="66">
        <v>43695</v>
      </c>
      <c r="AV144" s="264">
        <v>1</v>
      </c>
      <c r="AW144" s="264"/>
      <c r="AX144" s="264"/>
      <c r="AY144" s="264"/>
      <c r="AZ144" s="264"/>
      <c r="BA144" s="264">
        <v>12</v>
      </c>
      <c r="BB144" s="264"/>
      <c r="BC144" s="264" t="s">
        <v>693</v>
      </c>
      <c r="BD144" s="264">
        <v>8</v>
      </c>
      <c r="BE144" s="264"/>
      <c r="BF144" s="264" t="s">
        <v>694</v>
      </c>
      <c r="BG144" s="264">
        <v>11</v>
      </c>
      <c r="BH144" s="264"/>
      <c r="BI144" s="264" t="s">
        <v>901</v>
      </c>
      <c r="BJ144" s="264">
        <v>1</v>
      </c>
      <c r="BK144" s="264"/>
      <c r="BL144" s="66">
        <v>43652</v>
      </c>
      <c r="BM144" s="264">
        <v>1</v>
      </c>
      <c r="BN144" s="264" t="s">
        <v>651</v>
      </c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>
        <v>1</v>
      </c>
      <c r="CK144" s="264"/>
      <c r="CL144" s="264"/>
      <c r="CM144" s="264"/>
      <c r="CN144" s="264"/>
      <c r="CO144" s="264"/>
      <c r="CP144" s="264"/>
      <c r="CQ144" s="264"/>
      <c r="CR144" s="264"/>
      <c r="CS144" s="264">
        <v>2</v>
      </c>
      <c r="CT144" s="264"/>
      <c r="CU144" s="264">
        <v>3</v>
      </c>
      <c r="CV144" s="264">
        <v>6</v>
      </c>
      <c r="CW144" s="264">
        <v>1</v>
      </c>
      <c r="CX144" s="264" t="s">
        <v>660</v>
      </c>
      <c r="CY144" s="264">
        <v>1</v>
      </c>
      <c r="CZ144" s="264">
        <v>2</v>
      </c>
      <c r="DA144" s="264"/>
      <c r="DB144" s="264" t="s">
        <v>651</v>
      </c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>
        <v>1</v>
      </c>
      <c r="DS144" s="264"/>
      <c r="DT144" s="264"/>
      <c r="DU144" s="264"/>
      <c r="DV144" s="264"/>
      <c r="DW144" s="264"/>
      <c r="DX144" s="264">
        <v>1</v>
      </c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>
        <v>1</v>
      </c>
      <c r="ER144" s="264"/>
      <c r="ES144" s="264"/>
      <c r="ET144" s="264"/>
      <c r="EU144" s="264"/>
    </row>
    <row r="145" spans="1:151">
      <c r="A145" s="160"/>
      <c r="B145" s="264" t="s">
        <v>477</v>
      </c>
      <c r="C145" s="264">
        <v>17</v>
      </c>
      <c r="D145" s="66">
        <v>43502</v>
      </c>
      <c r="E145" s="264">
        <v>12</v>
      </c>
      <c r="F145" s="264" t="s">
        <v>669</v>
      </c>
      <c r="G145" s="264">
        <v>17</v>
      </c>
      <c r="H145" s="66">
        <v>43502</v>
      </c>
      <c r="I145" s="264">
        <v>12</v>
      </c>
      <c r="J145" s="264" t="s">
        <v>669</v>
      </c>
      <c r="K145" s="264">
        <v>2</v>
      </c>
      <c r="L145" s="264" t="s">
        <v>678</v>
      </c>
      <c r="M145" s="264"/>
      <c r="N145" s="264" t="s">
        <v>660</v>
      </c>
      <c r="O145" s="264">
        <v>1</v>
      </c>
      <c r="P145" s="264" t="s">
        <v>678</v>
      </c>
      <c r="Q145" s="264">
        <v>1</v>
      </c>
      <c r="R145" s="264" t="s">
        <v>889</v>
      </c>
      <c r="S145" s="264"/>
      <c r="T145" s="264" t="s">
        <v>650</v>
      </c>
      <c r="U145" s="264" t="s">
        <v>651</v>
      </c>
      <c r="V145" s="264"/>
      <c r="W145" s="264"/>
      <c r="X145" s="264">
        <v>7</v>
      </c>
      <c r="Y145" s="264" t="s">
        <v>852</v>
      </c>
      <c r="Z145" s="264">
        <v>6</v>
      </c>
      <c r="AA145" s="264" t="s">
        <v>673</v>
      </c>
      <c r="AB145" s="264">
        <v>2</v>
      </c>
      <c r="AC145" s="264" t="s">
        <v>734</v>
      </c>
      <c r="AD145" s="264">
        <v>10</v>
      </c>
      <c r="AE145" s="264" t="s">
        <v>722</v>
      </c>
      <c r="AF145" s="264">
        <v>6</v>
      </c>
      <c r="AG145" s="264" t="s">
        <v>672</v>
      </c>
      <c r="AH145" s="264"/>
      <c r="AI145" s="264" t="s">
        <v>651</v>
      </c>
      <c r="AJ145" s="264">
        <v>5</v>
      </c>
      <c r="AK145" s="264"/>
      <c r="AL145" s="264"/>
      <c r="AM145" s="264"/>
      <c r="AN145" s="264">
        <v>3</v>
      </c>
      <c r="AO145" s="264" t="s">
        <v>672</v>
      </c>
      <c r="AP145" s="66">
        <v>43633</v>
      </c>
      <c r="AQ145" s="264"/>
      <c r="AR145" s="264"/>
      <c r="AS145" s="264">
        <v>2</v>
      </c>
      <c r="AT145" s="264" t="s">
        <v>677</v>
      </c>
      <c r="AU145" s="66">
        <v>43688</v>
      </c>
      <c r="AV145" s="264"/>
      <c r="AW145" s="264" t="s">
        <v>650</v>
      </c>
      <c r="AX145" s="264">
        <v>1</v>
      </c>
      <c r="AY145" s="264" t="s">
        <v>651</v>
      </c>
      <c r="AZ145" s="66">
        <v>43532</v>
      </c>
      <c r="BA145" s="264">
        <v>7</v>
      </c>
      <c r="BB145" s="264" t="s">
        <v>852</v>
      </c>
      <c r="BC145" s="264" t="s">
        <v>725</v>
      </c>
      <c r="BD145" s="264">
        <v>8</v>
      </c>
      <c r="BE145" s="264"/>
      <c r="BF145" s="264" t="s">
        <v>667</v>
      </c>
      <c r="BG145" s="264">
        <v>9</v>
      </c>
      <c r="BH145" s="264" t="s">
        <v>670</v>
      </c>
      <c r="BI145" s="264" t="s">
        <v>734</v>
      </c>
      <c r="BJ145" s="264"/>
      <c r="BK145" s="264" t="s">
        <v>650</v>
      </c>
      <c r="BL145" s="264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>
        <v>1</v>
      </c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>
        <v>6</v>
      </c>
      <c r="CV145" s="264">
        <v>4</v>
      </c>
      <c r="CW145" s="264">
        <v>2</v>
      </c>
      <c r="CX145" s="264" t="s">
        <v>667</v>
      </c>
      <c r="CY145" s="264"/>
      <c r="CZ145" s="264"/>
      <c r="DA145" s="264"/>
      <c r="DB145" s="264"/>
      <c r="DC145" s="264">
        <v>1</v>
      </c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 t="s">
        <v>650</v>
      </c>
      <c r="DT145" s="264"/>
      <c r="DU145" s="264"/>
      <c r="DV145" s="264"/>
      <c r="DW145" s="264"/>
      <c r="DX145" s="264"/>
      <c r="DY145" s="264" t="s">
        <v>650</v>
      </c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 t="s">
        <v>649</v>
      </c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 t="s">
        <v>652</v>
      </c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 t="s">
        <v>37</v>
      </c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 t="s">
        <v>653</v>
      </c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 t="s">
        <v>654</v>
      </c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 t="s">
        <v>649</v>
      </c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 t="s">
        <v>655</v>
      </c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 t="s">
        <v>37</v>
      </c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>
        <v>55</v>
      </c>
      <c r="D147" s="264"/>
      <c r="E147" s="264">
        <v>29</v>
      </c>
      <c r="F147" s="264"/>
      <c r="G147" s="264">
        <v>55</v>
      </c>
      <c r="H147" s="264"/>
      <c r="I147" s="264">
        <v>29</v>
      </c>
      <c r="J147" s="264"/>
      <c r="K147" s="264">
        <v>17</v>
      </c>
      <c r="L147" s="264"/>
      <c r="M147" s="264"/>
      <c r="N147" s="264" t="s">
        <v>945</v>
      </c>
      <c r="O147" s="264">
        <v>10</v>
      </c>
      <c r="P147" s="264"/>
      <c r="Q147" s="264">
        <v>6</v>
      </c>
      <c r="R147" s="264"/>
      <c r="S147" s="264">
        <v>3</v>
      </c>
      <c r="T147" s="264"/>
      <c r="U147" s="264" t="s">
        <v>667</v>
      </c>
      <c r="V147" s="264"/>
      <c r="W147" s="264"/>
      <c r="X147" s="264">
        <v>26</v>
      </c>
      <c r="Y147" s="264"/>
      <c r="Z147" s="264">
        <v>16</v>
      </c>
      <c r="AA147" s="264"/>
      <c r="AB147" s="264">
        <v>4</v>
      </c>
      <c r="AC147" s="264" t="s">
        <v>693</v>
      </c>
      <c r="AD147" s="264">
        <v>29</v>
      </c>
      <c r="AE147" s="264"/>
      <c r="AF147" s="264">
        <v>13</v>
      </c>
      <c r="AG147" s="264"/>
      <c r="AH147" s="264">
        <v>13</v>
      </c>
      <c r="AI147" s="264" t="s">
        <v>657</v>
      </c>
      <c r="AJ147" s="264">
        <v>7</v>
      </c>
      <c r="AK147" s="264"/>
      <c r="AL147" s="264"/>
      <c r="AM147" s="264"/>
      <c r="AN147" s="264">
        <v>16</v>
      </c>
      <c r="AO147" s="264"/>
      <c r="AP147" s="66">
        <v>43494</v>
      </c>
      <c r="AQ147" s="264">
        <v>1</v>
      </c>
      <c r="AR147" s="264"/>
      <c r="AS147" s="264">
        <v>13</v>
      </c>
      <c r="AT147" s="264"/>
      <c r="AU147" s="66">
        <v>43639</v>
      </c>
      <c r="AV147" s="264">
        <v>5</v>
      </c>
      <c r="AW147" s="264"/>
      <c r="AX147" s="264">
        <v>4</v>
      </c>
      <c r="AY147" s="264"/>
      <c r="AZ147" s="66">
        <v>43690</v>
      </c>
      <c r="BA147" s="264">
        <v>13</v>
      </c>
      <c r="BB147" s="264"/>
      <c r="BC147" s="264" t="s">
        <v>805</v>
      </c>
      <c r="BD147" s="264">
        <v>13</v>
      </c>
      <c r="BE147" s="264"/>
      <c r="BF147" s="264" t="s">
        <v>805</v>
      </c>
      <c r="BG147" s="264">
        <v>13</v>
      </c>
      <c r="BH147" s="264"/>
      <c r="BI147" s="264" t="s">
        <v>805</v>
      </c>
      <c r="BJ147" s="264">
        <v>3</v>
      </c>
      <c r="BK147" s="264"/>
      <c r="BL147" s="66">
        <v>43534</v>
      </c>
      <c r="BM147" s="264">
        <v>3</v>
      </c>
      <c r="BN147" s="264" t="s">
        <v>651</v>
      </c>
      <c r="BO147" s="264"/>
      <c r="BP147" s="264">
        <v>1</v>
      </c>
      <c r="BQ147" s="264">
        <v>1</v>
      </c>
      <c r="BR147" s="264"/>
      <c r="BS147" s="264" t="s">
        <v>651</v>
      </c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>
        <v>1</v>
      </c>
      <c r="CK147" s="264">
        <v>1</v>
      </c>
      <c r="CL147" s="264"/>
      <c r="CM147" s="264" t="s">
        <v>651</v>
      </c>
      <c r="CN147" s="264"/>
      <c r="CO147" s="264"/>
      <c r="CP147" s="264"/>
      <c r="CQ147" s="264">
        <v>1</v>
      </c>
      <c r="CR147" s="264"/>
      <c r="CS147" s="264">
        <v>1</v>
      </c>
      <c r="CT147" s="264"/>
      <c r="CU147" s="264">
        <v>22</v>
      </c>
      <c r="CV147" s="264">
        <v>9</v>
      </c>
      <c r="CW147" s="264">
        <v>8</v>
      </c>
      <c r="CX147" s="264" t="s">
        <v>965</v>
      </c>
      <c r="CY147" s="264">
        <v>1</v>
      </c>
      <c r="CZ147" s="264"/>
      <c r="DA147" s="264">
        <v>1</v>
      </c>
      <c r="DB147" s="264"/>
      <c r="DC147" s="264"/>
      <c r="DD147" s="264">
        <v>1</v>
      </c>
      <c r="DE147" s="264"/>
      <c r="DF147" s="264">
        <v>6</v>
      </c>
      <c r="DG147" s="264"/>
      <c r="DH147" s="264">
        <v>6</v>
      </c>
      <c r="DI147" s="264"/>
      <c r="DJ147" s="264"/>
      <c r="DK147" s="264"/>
      <c r="DL147" s="264"/>
      <c r="DM147" s="264"/>
      <c r="DN147" s="264"/>
      <c r="DO147" s="264">
        <v>1</v>
      </c>
      <c r="DP147" s="264"/>
      <c r="DQ147" s="264" t="s">
        <v>651</v>
      </c>
      <c r="DR147" s="264">
        <v>3</v>
      </c>
      <c r="DS147" s="264"/>
      <c r="DT147" s="264">
        <v>3</v>
      </c>
      <c r="DU147" s="264"/>
      <c r="DV147" s="264">
        <v>3</v>
      </c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>
        <v>59</v>
      </c>
      <c r="D148" s="66">
        <v>43531</v>
      </c>
      <c r="E148" s="264">
        <v>43</v>
      </c>
      <c r="F148" s="264" t="s">
        <v>1398</v>
      </c>
      <c r="G148" s="264">
        <v>59</v>
      </c>
      <c r="H148" s="66">
        <v>43531</v>
      </c>
      <c r="I148" s="264">
        <v>43</v>
      </c>
      <c r="J148" s="264" t="s">
        <v>1398</v>
      </c>
      <c r="K148" s="264">
        <v>22</v>
      </c>
      <c r="L148" s="66">
        <v>43584</v>
      </c>
      <c r="M148" s="264"/>
      <c r="N148" s="264" t="s">
        <v>1101</v>
      </c>
      <c r="O148" s="264">
        <v>12</v>
      </c>
      <c r="P148" s="264" t="s">
        <v>690</v>
      </c>
      <c r="Q148" s="264">
        <v>11</v>
      </c>
      <c r="R148" s="264" t="s">
        <v>674</v>
      </c>
      <c r="S148" s="264">
        <v>4</v>
      </c>
      <c r="T148" s="264" t="s">
        <v>714</v>
      </c>
      <c r="U148" s="264" t="s">
        <v>901</v>
      </c>
      <c r="V148" s="264"/>
      <c r="W148" s="264"/>
      <c r="X148" s="264">
        <v>29</v>
      </c>
      <c r="Y148" s="66">
        <v>43596</v>
      </c>
      <c r="Z148" s="264">
        <v>20</v>
      </c>
      <c r="AA148" s="264" t="s">
        <v>688</v>
      </c>
      <c r="AB148" s="264">
        <v>5</v>
      </c>
      <c r="AC148" s="264" t="s">
        <v>693</v>
      </c>
      <c r="AD148" s="264">
        <v>30</v>
      </c>
      <c r="AE148" s="66">
        <v>43558</v>
      </c>
      <c r="AF148" s="264">
        <v>23</v>
      </c>
      <c r="AG148" s="264" t="s">
        <v>1009</v>
      </c>
      <c r="AH148" s="264">
        <v>17</v>
      </c>
      <c r="AI148" s="264" t="s">
        <v>999</v>
      </c>
      <c r="AJ148" s="264">
        <v>7</v>
      </c>
      <c r="AK148" s="264"/>
      <c r="AL148" s="264">
        <v>1</v>
      </c>
      <c r="AM148" s="264" t="s">
        <v>651</v>
      </c>
      <c r="AN148" s="264">
        <v>16</v>
      </c>
      <c r="AO148" s="264"/>
      <c r="AP148" s="66">
        <v>43492</v>
      </c>
      <c r="AQ148" s="264">
        <v>1</v>
      </c>
      <c r="AR148" s="264"/>
      <c r="AS148" s="264">
        <v>12</v>
      </c>
      <c r="AT148" s="264" t="s">
        <v>689</v>
      </c>
      <c r="AU148" s="66">
        <v>43544</v>
      </c>
      <c r="AV148" s="264">
        <v>6</v>
      </c>
      <c r="AW148" s="264" t="s">
        <v>690</v>
      </c>
      <c r="AX148" s="264">
        <v>3</v>
      </c>
      <c r="AY148" s="264" t="s">
        <v>672</v>
      </c>
      <c r="AZ148" s="264" t="s">
        <v>712</v>
      </c>
      <c r="BA148" s="264">
        <v>20</v>
      </c>
      <c r="BB148" s="264" t="s">
        <v>769</v>
      </c>
      <c r="BC148" s="264" t="s">
        <v>1409</v>
      </c>
      <c r="BD148" s="264">
        <v>22</v>
      </c>
      <c r="BE148" s="264" t="s">
        <v>729</v>
      </c>
      <c r="BF148" s="264" t="s">
        <v>762</v>
      </c>
      <c r="BG148" s="264">
        <v>30</v>
      </c>
      <c r="BH148" s="264" t="s">
        <v>1476</v>
      </c>
      <c r="BI148" s="264" t="s">
        <v>1287</v>
      </c>
      <c r="BJ148" s="264">
        <v>4</v>
      </c>
      <c r="BK148" s="264" t="s">
        <v>714</v>
      </c>
      <c r="BL148" s="66">
        <v>43533</v>
      </c>
      <c r="BM148" s="264">
        <v>4</v>
      </c>
      <c r="BN148" s="264" t="s">
        <v>651</v>
      </c>
      <c r="BO148" s="264"/>
      <c r="BP148" s="264"/>
      <c r="BQ148" s="264">
        <v>2</v>
      </c>
      <c r="BR148" s="264"/>
      <c r="BS148" s="264" t="s">
        <v>651</v>
      </c>
      <c r="BT148" s="264"/>
      <c r="BU148" s="264"/>
      <c r="BV148" s="264"/>
      <c r="BW148" s="264"/>
      <c r="BX148" s="264"/>
      <c r="BY148" s="264">
        <v>1</v>
      </c>
      <c r="BZ148" s="264"/>
      <c r="CA148" s="264" t="s">
        <v>651</v>
      </c>
      <c r="CB148" s="264"/>
      <c r="CC148" s="264"/>
      <c r="CD148" s="264"/>
      <c r="CE148" s="264"/>
      <c r="CF148" s="264"/>
      <c r="CG148" s="264"/>
      <c r="CH148" s="264"/>
      <c r="CI148" s="264"/>
      <c r="CJ148" s="264">
        <v>2</v>
      </c>
      <c r="CK148" s="264">
        <v>4</v>
      </c>
      <c r="CL148" s="264"/>
      <c r="CM148" s="264" t="s">
        <v>651</v>
      </c>
      <c r="CN148" s="264"/>
      <c r="CO148" s="264"/>
      <c r="CP148" s="264"/>
      <c r="CQ148" s="264"/>
      <c r="CR148" s="264"/>
      <c r="CS148" s="264"/>
      <c r="CT148" s="264"/>
      <c r="CU148" s="264">
        <v>14</v>
      </c>
      <c r="CV148" s="264">
        <v>14</v>
      </c>
      <c r="CW148" s="264">
        <v>17</v>
      </c>
      <c r="CX148" s="264" t="s">
        <v>1327</v>
      </c>
      <c r="CY148" s="264">
        <v>1</v>
      </c>
      <c r="CZ148" s="264">
        <v>1</v>
      </c>
      <c r="DA148" s="264">
        <v>4</v>
      </c>
      <c r="DB148" s="264" t="s">
        <v>690</v>
      </c>
      <c r="DC148" s="264"/>
      <c r="DD148" s="264">
        <v>1</v>
      </c>
      <c r="DE148" s="264"/>
      <c r="DF148" s="264">
        <v>12</v>
      </c>
      <c r="DG148" s="264">
        <v>1</v>
      </c>
      <c r="DH148" s="264">
        <v>4</v>
      </c>
      <c r="DI148" s="264" t="s">
        <v>690</v>
      </c>
      <c r="DJ148" s="264"/>
      <c r="DK148" s="264"/>
      <c r="DL148" s="264"/>
      <c r="DM148" s="264"/>
      <c r="DN148" s="264">
        <v>2</v>
      </c>
      <c r="DO148" s="264">
        <v>3</v>
      </c>
      <c r="DP148" s="264"/>
      <c r="DQ148" s="264" t="s">
        <v>651</v>
      </c>
      <c r="DR148" s="264">
        <v>1</v>
      </c>
      <c r="DS148" s="264" t="s">
        <v>743</v>
      </c>
      <c r="DT148" s="264">
        <v>1</v>
      </c>
      <c r="DU148" s="264" t="s">
        <v>743</v>
      </c>
      <c r="DV148" s="264">
        <v>1</v>
      </c>
      <c r="DW148" s="264" t="s">
        <v>743</v>
      </c>
      <c r="DX148" s="264">
        <v>3</v>
      </c>
      <c r="DY148" s="264" t="s">
        <v>651</v>
      </c>
      <c r="DZ148" s="264">
        <v>2</v>
      </c>
      <c r="EA148" s="264" t="s">
        <v>651</v>
      </c>
      <c r="EB148" s="264">
        <v>1</v>
      </c>
      <c r="EC148" s="264" t="s">
        <v>651</v>
      </c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 t="s">
        <v>649</v>
      </c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 t="s">
        <v>652</v>
      </c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 t="s">
        <v>37</v>
      </c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 t="s">
        <v>653</v>
      </c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 t="s">
        <v>654</v>
      </c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 t="s">
        <v>649</v>
      </c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 t="s">
        <v>655</v>
      </c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 t="s">
        <v>37</v>
      </c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>
        <v>2165</v>
      </c>
      <c r="D150" s="264"/>
      <c r="E150" s="264">
        <v>958</v>
      </c>
      <c r="F150" s="264"/>
      <c r="G150" s="264">
        <v>2165</v>
      </c>
      <c r="H150" s="264"/>
      <c r="I150" s="264">
        <v>958</v>
      </c>
      <c r="J150" s="264"/>
      <c r="K150" s="264">
        <v>1301</v>
      </c>
      <c r="L150" s="264"/>
      <c r="M150" s="264">
        <v>17</v>
      </c>
      <c r="N150" s="264" t="s">
        <v>1174</v>
      </c>
      <c r="O150" s="264">
        <v>435</v>
      </c>
      <c r="P150" s="264"/>
      <c r="Q150" s="264">
        <v>254</v>
      </c>
      <c r="R150" s="264"/>
      <c r="S150" s="264">
        <v>222</v>
      </c>
      <c r="T150" s="264"/>
      <c r="U150" s="264" t="s">
        <v>1081</v>
      </c>
      <c r="V150" s="264">
        <v>94</v>
      </c>
      <c r="W150" s="66">
        <v>43586</v>
      </c>
      <c r="X150" s="264">
        <v>814</v>
      </c>
      <c r="Y150" s="264"/>
      <c r="Z150" s="264">
        <v>476</v>
      </c>
      <c r="AA150" s="264"/>
      <c r="AB150" s="264">
        <v>306</v>
      </c>
      <c r="AC150" s="264" t="s">
        <v>1086</v>
      </c>
      <c r="AD150" s="264">
        <v>1351</v>
      </c>
      <c r="AE150" s="264"/>
      <c r="AF150" s="264">
        <v>482</v>
      </c>
      <c r="AG150" s="264"/>
      <c r="AH150" s="264">
        <v>995</v>
      </c>
      <c r="AI150" s="264" t="s">
        <v>817</v>
      </c>
      <c r="AJ150" s="264">
        <v>242</v>
      </c>
      <c r="AK150" s="264"/>
      <c r="AL150" s="264">
        <v>1</v>
      </c>
      <c r="AM150" s="264"/>
      <c r="AN150" s="264">
        <v>784</v>
      </c>
      <c r="AO150" s="264"/>
      <c r="AP150" s="264" t="s">
        <v>934</v>
      </c>
      <c r="AQ150" s="264">
        <v>106</v>
      </c>
      <c r="AR150" s="264"/>
      <c r="AS150" s="264">
        <v>490</v>
      </c>
      <c r="AT150" s="264"/>
      <c r="AU150" s="66">
        <v>43638</v>
      </c>
      <c r="AV150" s="264">
        <v>221</v>
      </c>
      <c r="AW150" s="264"/>
      <c r="AX150" s="264">
        <v>30</v>
      </c>
      <c r="AY150" s="264"/>
      <c r="AZ150" s="66">
        <v>43468</v>
      </c>
      <c r="BA150" s="264">
        <v>541</v>
      </c>
      <c r="BB150" s="264"/>
      <c r="BC150" s="264" t="s">
        <v>656</v>
      </c>
      <c r="BD150" s="264">
        <v>342</v>
      </c>
      <c r="BE150" s="264"/>
      <c r="BF150" s="264" t="s">
        <v>956</v>
      </c>
      <c r="BG150" s="264">
        <v>562</v>
      </c>
      <c r="BH150" s="264"/>
      <c r="BI150" s="264" t="s">
        <v>929</v>
      </c>
      <c r="BJ150" s="264">
        <v>130</v>
      </c>
      <c r="BK150" s="264"/>
      <c r="BL150" s="66">
        <v>43629</v>
      </c>
      <c r="BM150" s="264">
        <v>51</v>
      </c>
      <c r="BN150" s="264" t="s">
        <v>849</v>
      </c>
      <c r="BO150" s="264">
        <v>78</v>
      </c>
      <c r="BP150" s="264">
        <v>8</v>
      </c>
      <c r="BQ150" s="264">
        <v>9</v>
      </c>
      <c r="BR150" s="264"/>
      <c r="BS150" s="264" t="s">
        <v>651</v>
      </c>
      <c r="BT150" s="264">
        <v>4</v>
      </c>
      <c r="BU150" s="264">
        <v>2</v>
      </c>
      <c r="BV150" s="264"/>
      <c r="BW150" s="264" t="s">
        <v>651</v>
      </c>
      <c r="BX150" s="264">
        <v>42</v>
      </c>
      <c r="BY150" s="264">
        <v>27</v>
      </c>
      <c r="BZ150" s="264">
        <v>3</v>
      </c>
      <c r="CA150" s="264" t="s">
        <v>749</v>
      </c>
      <c r="CB150" s="264">
        <v>5</v>
      </c>
      <c r="CC150" s="264">
        <v>2</v>
      </c>
      <c r="CD150" s="264"/>
      <c r="CE150" s="264" t="s">
        <v>651</v>
      </c>
      <c r="CF150" s="264">
        <v>11</v>
      </c>
      <c r="CG150" s="264">
        <v>6</v>
      </c>
      <c r="CH150" s="264">
        <v>4</v>
      </c>
      <c r="CI150" s="264" t="s">
        <v>676</v>
      </c>
      <c r="CJ150" s="264">
        <v>54</v>
      </c>
      <c r="CK150" s="264">
        <v>32</v>
      </c>
      <c r="CL150" s="264">
        <v>31</v>
      </c>
      <c r="CM150" s="264" t="s">
        <v>810</v>
      </c>
      <c r="CN150" s="264">
        <v>2</v>
      </c>
      <c r="CO150" s="264"/>
      <c r="CP150" s="264" t="s">
        <v>651</v>
      </c>
      <c r="CQ150" s="264">
        <v>11</v>
      </c>
      <c r="CR150" s="264">
        <v>7</v>
      </c>
      <c r="CS150" s="264">
        <v>13</v>
      </c>
      <c r="CT150" s="264" t="s">
        <v>1084</v>
      </c>
      <c r="CU150" s="264">
        <v>907</v>
      </c>
      <c r="CV150" s="264">
        <v>275</v>
      </c>
      <c r="CW150" s="264">
        <v>800</v>
      </c>
      <c r="CX150" s="66">
        <v>43641</v>
      </c>
      <c r="CY150" s="264">
        <v>23</v>
      </c>
      <c r="CZ150" s="264">
        <v>30</v>
      </c>
      <c r="DA150" s="264">
        <v>20</v>
      </c>
      <c r="DB150" s="264" t="s">
        <v>676</v>
      </c>
      <c r="DC150" s="264">
        <v>4</v>
      </c>
      <c r="DD150" s="264">
        <v>3</v>
      </c>
      <c r="DE150" s="264"/>
      <c r="DF150" s="264">
        <v>271</v>
      </c>
      <c r="DG150" s="264">
        <v>38</v>
      </c>
      <c r="DH150" s="264">
        <v>214</v>
      </c>
      <c r="DI150" s="66">
        <v>43480</v>
      </c>
      <c r="DJ150" s="264">
        <v>7</v>
      </c>
      <c r="DK150" s="264">
        <v>2</v>
      </c>
      <c r="DL150" s="264">
        <v>2</v>
      </c>
      <c r="DM150" s="264" t="s">
        <v>657</v>
      </c>
      <c r="DN150" s="264">
        <v>25</v>
      </c>
      <c r="DO150" s="264">
        <v>21</v>
      </c>
      <c r="DP150" s="264">
        <v>4</v>
      </c>
      <c r="DQ150" s="264" t="s">
        <v>1198</v>
      </c>
      <c r="DR150" s="264">
        <v>103</v>
      </c>
      <c r="DS150" s="264"/>
      <c r="DT150" s="264">
        <v>96</v>
      </c>
      <c r="DU150" s="264"/>
      <c r="DV150" s="264">
        <v>47</v>
      </c>
      <c r="DW150" s="264"/>
      <c r="DX150" s="264">
        <v>28</v>
      </c>
      <c r="DY150" s="264"/>
      <c r="DZ150" s="264">
        <v>23</v>
      </c>
      <c r="EA150" s="264"/>
      <c r="EB150" s="264">
        <v>10</v>
      </c>
      <c r="EC150" s="264"/>
      <c r="ED150" s="264" t="s">
        <v>1280</v>
      </c>
      <c r="EE150" s="264">
        <v>22</v>
      </c>
      <c r="EF150" s="264"/>
      <c r="EG150" s="264"/>
      <c r="EH150" s="264"/>
      <c r="EI150" s="264">
        <v>11</v>
      </c>
      <c r="EJ150" s="264"/>
      <c r="EK150" s="264"/>
      <c r="EL150" s="264">
        <v>2</v>
      </c>
      <c r="EM150" s="264"/>
      <c r="EN150" s="264">
        <v>5</v>
      </c>
      <c r="EO150" s="264">
        <v>2</v>
      </c>
      <c r="EP150" s="264"/>
      <c r="EQ150" s="264">
        <v>7</v>
      </c>
      <c r="ER150" s="264">
        <v>2</v>
      </c>
      <c r="ES150" s="264"/>
      <c r="ET150" s="264">
        <v>1</v>
      </c>
      <c r="EU150" s="264">
        <v>1</v>
      </c>
    </row>
    <row r="151" spans="1:151">
      <c r="A151" s="160"/>
      <c r="B151" s="264" t="s">
        <v>408</v>
      </c>
      <c r="C151" s="264">
        <v>2266</v>
      </c>
      <c r="D151" s="66">
        <v>43650</v>
      </c>
      <c r="E151" s="264">
        <v>955</v>
      </c>
      <c r="F151" s="264" t="s">
        <v>1394</v>
      </c>
      <c r="G151" s="264">
        <v>2266</v>
      </c>
      <c r="H151" s="66">
        <v>43650</v>
      </c>
      <c r="I151" s="264">
        <v>955</v>
      </c>
      <c r="J151" s="264" t="s">
        <v>1394</v>
      </c>
      <c r="K151" s="264">
        <v>1159</v>
      </c>
      <c r="L151" s="264" t="s">
        <v>1126</v>
      </c>
      <c r="M151" s="264">
        <v>27</v>
      </c>
      <c r="N151" s="264" t="s">
        <v>1327</v>
      </c>
      <c r="O151" s="264">
        <v>459</v>
      </c>
      <c r="P151" s="66">
        <v>43590</v>
      </c>
      <c r="Q151" s="264">
        <v>153</v>
      </c>
      <c r="R151" s="264" t="s">
        <v>1425</v>
      </c>
      <c r="S151" s="264">
        <v>260</v>
      </c>
      <c r="T151" s="66">
        <v>43482</v>
      </c>
      <c r="U151" s="264" t="s">
        <v>834</v>
      </c>
      <c r="V151" s="264">
        <v>70</v>
      </c>
      <c r="W151" s="66">
        <v>43466</v>
      </c>
      <c r="X151" s="264">
        <v>861</v>
      </c>
      <c r="Y151" s="66">
        <v>43682</v>
      </c>
      <c r="Z151" s="264">
        <v>536</v>
      </c>
      <c r="AA151" s="66">
        <v>43628</v>
      </c>
      <c r="AB151" s="264">
        <v>261</v>
      </c>
      <c r="AC151" s="264" t="s">
        <v>1300</v>
      </c>
      <c r="AD151" s="264">
        <v>1405</v>
      </c>
      <c r="AE151" s="264" t="s">
        <v>840</v>
      </c>
      <c r="AF151" s="264">
        <v>419</v>
      </c>
      <c r="AG151" s="264" t="s">
        <v>873</v>
      </c>
      <c r="AH151" s="264">
        <v>898</v>
      </c>
      <c r="AI151" s="66">
        <v>43708</v>
      </c>
      <c r="AJ151" s="264">
        <v>228</v>
      </c>
      <c r="AK151" s="264" t="s">
        <v>1351</v>
      </c>
      <c r="AL151" s="264">
        <v>3</v>
      </c>
      <c r="AM151" s="264" t="s">
        <v>697</v>
      </c>
      <c r="AN151" s="264">
        <v>820</v>
      </c>
      <c r="AO151" s="66">
        <v>43620</v>
      </c>
      <c r="AP151" s="264" t="s">
        <v>934</v>
      </c>
      <c r="AQ151" s="264">
        <v>83</v>
      </c>
      <c r="AR151" s="264" t="s">
        <v>1034</v>
      </c>
      <c r="AS151" s="264">
        <v>478</v>
      </c>
      <c r="AT151" s="264" t="s">
        <v>1333</v>
      </c>
      <c r="AU151" s="66">
        <v>43486</v>
      </c>
      <c r="AV151" s="264">
        <v>189</v>
      </c>
      <c r="AW151" s="264" t="s">
        <v>900</v>
      </c>
      <c r="AX151" s="264">
        <v>44</v>
      </c>
      <c r="AY151" s="264" t="s">
        <v>781</v>
      </c>
      <c r="AZ151" s="66">
        <v>43620</v>
      </c>
      <c r="BA151" s="264">
        <v>566</v>
      </c>
      <c r="BB151" s="66">
        <v>43620</v>
      </c>
      <c r="BC151" s="264" t="s">
        <v>982</v>
      </c>
      <c r="BD151" s="264">
        <v>291</v>
      </c>
      <c r="BE151" s="264" t="s">
        <v>1427</v>
      </c>
      <c r="BF151" s="66">
        <v>43615</v>
      </c>
      <c r="BG151" s="264">
        <v>618</v>
      </c>
      <c r="BH151" s="264" t="s">
        <v>704</v>
      </c>
      <c r="BI151" s="264" t="s">
        <v>750</v>
      </c>
      <c r="BJ151" s="264">
        <v>80</v>
      </c>
      <c r="BK151" s="264" t="s">
        <v>698</v>
      </c>
      <c r="BL151" s="66">
        <v>43563</v>
      </c>
      <c r="BM151" s="264">
        <v>69</v>
      </c>
      <c r="BN151" s="264" t="s">
        <v>1107</v>
      </c>
      <c r="BO151" s="264">
        <v>8</v>
      </c>
      <c r="BP151" s="264">
        <v>11</v>
      </c>
      <c r="BQ151" s="264">
        <v>7</v>
      </c>
      <c r="BR151" s="264"/>
      <c r="BS151" s="264" t="s">
        <v>651</v>
      </c>
      <c r="BT151" s="264">
        <v>2</v>
      </c>
      <c r="BU151" s="264"/>
      <c r="BV151" s="264"/>
      <c r="BW151" s="264"/>
      <c r="BX151" s="264">
        <v>45</v>
      </c>
      <c r="BY151" s="264">
        <v>20</v>
      </c>
      <c r="BZ151" s="264">
        <v>7</v>
      </c>
      <c r="CA151" s="264" t="s">
        <v>748</v>
      </c>
      <c r="CB151" s="264">
        <v>10</v>
      </c>
      <c r="CC151" s="264">
        <v>3</v>
      </c>
      <c r="CD151" s="264">
        <v>1</v>
      </c>
      <c r="CE151" s="264" t="s">
        <v>734</v>
      </c>
      <c r="CF151" s="264">
        <v>10</v>
      </c>
      <c r="CG151" s="264">
        <v>10</v>
      </c>
      <c r="CH151" s="264"/>
      <c r="CI151" s="264" t="s">
        <v>651</v>
      </c>
      <c r="CJ151" s="264">
        <v>61</v>
      </c>
      <c r="CK151" s="264">
        <v>32</v>
      </c>
      <c r="CL151" s="264">
        <v>21</v>
      </c>
      <c r="CM151" s="264" t="s">
        <v>1316</v>
      </c>
      <c r="CN151" s="264"/>
      <c r="CO151" s="264" t="s">
        <v>650</v>
      </c>
      <c r="CP151" s="264"/>
      <c r="CQ151" s="264">
        <v>10</v>
      </c>
      <c r="CR151" s="264">
        <v>1</v>
      </c>
      <c r="CS151" s="264">
        <v>11</v>
      </c>
      <c r="CT151" s="66">
        <v>43532</v>
      </c>
      <c r="CU151" s="264">
        <v>1016</v>
      </c>
      <c r="CV151" s="264">
        <v>332</v>
      </c>
      <c r="CW151" s="264">
        <v>712</v>
      </c>
      <c r="CX151" s="66">
        <v>43708</v>
      </c>
      <c r="CY151" s="264">
        <v>31</v>
      </c>
      <c r="CZ151" s="264">
        <v>11</v>
      </c>
      <c r="DA151" s="264">
        <v>20</v>
      </c>
      <c r="DB151" s="264" t="s">
        <v>1337</v>
      </c>
      <c r="DC151" s="264">
        <v>9</v>
      </c>
      <c r="DD151" s="264">
        <v>5</v>
      </c>
      <c r="DE151" s="264">
        <v>1</v>
      </c>
      <c r="DF151" s="264">
        <v>281</v>
      </c>
      <c r="DG151" s="264">
        <v>48</v>
      </c>
      <c r="DH151" s="264">
        <v>185</v>
      </c>
      <c r="DI151" s="66">
        <v>43636</v>
      </c>
      <c r="DJ151" s="264">
        <v>7</v>
      </c>
      <c r="DK151" s="264">
        <v>2</v>
      </c>
      <c r="DL151" s="264">
        <v>5</v>
      </c>
      <c r="DM151" s="66">
        <v>43644</v>
      </c>
      <c r="DN151" s="264">
        <v>30</v>
      </c>
      <c r="DO151" s="264">
        <v>16</v>
      </c>
      <c r="DP151" s="264">
        <v>4</v>
      </c>
      <c r="DQ151" s="264" t="s">
        <v>693</v>
      </c>
      <c r="DR151" s="264">
        <v>95</v>
      </c>
      <c r="DS151" s="264" t="s">
        <v>1406</v>
      </c>
      <c r="DT151" s="264">
        <v>92</v>
      </c>
      <c r="DU151" s="264" t="s">
        <v>967</v>
      </c>
      <c r="DV151" s="264">
        <v>62</v>
      </c>
      <c r="DW151" s="264" t="s">
        <v>1325</v>
      </c>
      <c r="DX151" s="264">
        <v>29</v>
      </c>
      <c r="DY151" s="66">
        <v>43619</v>
      </c>
      <c r="DZ151" s="264">
        <v>22</v>
      </c>
      <c r="EA151" s="264" t="s">
        <v>1422</v>
      </c>
      <c r="EB151" s="264">
        <v>11</v>
      </c>
      <c r="EC151" s="264" t="s">
        <v>704</v>
      </c>
      <c r="ED151" s="264" t="s">
        <v>948</v>
      </c>
      <c r="EE151" s="264">
        <v>31</v>
      </c>
      <c r="EF151" s="264"/>
      <c r="EG151" s="264"/>
      <c r="EH151" s="264"/>
      <c r="EI151" s="264">
        <v>10</v>
      </c>
      <c r="EJ151" s="264"/>
      <c r="EK151" s="264">
        <v>1</v>
      </c>
      <c r="EL151" s="264">
        <v>3</v>
      </c>
      <c r="EM151" s="264"/>
      <c r="EN151" s="264">
        <v>3</v>
      </c>
      <c r="EO151" s="264">
        <v>2</v>
      </c>
      <c r="EP151" s="264">
        <v>1</v>
      </c>
      <c r="EQ151" s="264">
        <v>3</v>
      </c>
      <c r="ER151" s="264"/>
      <c r="ES151" s="264"/>
      <c r="ET151" s="264"/>
      <c r="EU151" s="264"/>
    </row>
    <row r="152" spans="1:151">
      <c r="A152" s="160"/>
      <c r="B152" s="1" t="s">
        <v>1</v>
      </c>
      <c r="C152" s="264" t="s">
        <v>649</v>
      </c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 t="s">
        <v>652</v>
      </c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 t="s">
        <v>37</v>
      </c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 t="s">
        <v>653</v>
      </c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 t="s">
        <v>654</v>
      </c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 t="s">
        <v>649</v>
      </c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 t="s">
        <v>655</v>
      </c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 t="s">
        <v>37</v>
      </c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>
        <v>58</v>
      </c>
      <c r="D153" s="264"/>
      <c r="E153" s="264">
        <v>28</v>
      </c>
      <c r="F153" s="264"/>
      <c r="G153" s="264">
        <v>58</v>
      </c>
      <c r="H153" s="264"/>
      <c r="I153" s="264">
        <v>28</v>
      </c>
      <c r="J153" s="264"/>
      <c r="K153" s="264">
        <v>10</v>
      </c>
      <c r="L153" s="264"/>
      <c r="M153" s="264"/>
      <c r="N153" s="264" t="s">
        <v>867</v>
      </c>
      <c r="O153" s="264">
        <v>11</v>
      </c>
      <c r="P153" s="264"/>
      <c r="Q153" s="264">
        <v>5</v>
      </c>
      <c r="R153" s="264"/>
      <c r="S153" s="264">
        <v>3</v>
      </c>
      <c r="T153" s="264"/>
      <c r="U153" s="264" t="s">
        <v>713</v>
      </c>
      <c r="V153" s="264">
        <v>4</v>
      </c>
      <c r="W153" s="66">
        <v>43558</v>
      </c>
      <c r="X153" s="264">
        <v>17</v>
      </c>
      <c r="Y153" s="264"/>
      <c r="Z153" s="264">
        <v>17</v>
      </c>
      <c r="AA153" s="264"/>
      <c r="AB153" s="264">
        <v>4</v>
      </c>
      <c r="AC153" s="264" t="s">
        <v>825</v>
      </c>
      <c r="AD153" s="264">
        <v>41</v>
      </c>
      <c r="AE153" s="264"/>
      <c r="AF153" s="264">
        <v>11</v>
      </c>
      <c r="AG153" s="264"/>
      <c r="AH153" s="264">
        <v>6</v>
      </c>
      <c r="AI153" s="264" t="s">
        <v>750</v>
      </c>
      <c r="AJ153" s="264">
        <v>1</v>
      </c>
      <c r="AK153" s="264"/>
      <c r="AL153" s="264"/>
      <c r="AM153" s="264"/>
      <c r="AN153" s="264">
        <v>12</v>
      </c>
      <c r="AO153" s="264"/>
      <c r="AP153" s="66">
        <v>43666</v>
      </c>
      <c r="AQ153" s="264"/>
      <c r="AR153" s="264"/>
      <c r="AS153" s="264">
        <v>8</v>
      </c>
      <c r="AT153" s="264"/>
      <c r="AU153" s="66">
        <v>43690</v>
      </c>
      <c r="AV153" s="264">
        <v>3</v>
      </c>
      <c r="AW153" s="264"/>
      <c r="AX153" s="264">
        <v>1</v>
      </c>
      <c r="AY153" s="264"/>
      <c r="AZ153" s="66">
        <v>43619</v>
      </c>
      <c r="BA153" s="264">
        <v>11</v>
      </c>
      <c r="BB153" s="264"/>
      <c r="BC153" s="264" t="s">
        <v>993</v>
      </c>
      <c r="BD153" s="264">
        <v>16</v>
      </c>
      <c r="BE153" s="264"/>
      <c r="BF153" s="264" t="s">
        <v>744</v>
      </c>
      <c r="BG153" s="264">
        <v>18</v>
      </c>
      <c r="BH153" s="264"/>
      <c r="BI153" s="264" t="s">
        <v>763</v>
      </c>
      <c r="BJ153" s="264"/>
      <c r="BK153" s="264"/>
      <c r="BL153" s="264"/>
      <c r="BM153" s="264"/>
      <c r="BN153" s="264"/>
      <c r="BO153" s="264"/>
      <c r="BP153" s="264">
        <v>1</v>
      </c>
      <c r="BQ153" s="264"/>
      <c r="BR153" s="264"/>
      <c r="BS153" s="264"/>
      <c r="BT153" s="264"/>
      <c r="BU153" s="264"/>
      <c r="BV153" s="264"/>
      <c r="BW153" s="264"/>
      <c r="BX153" s="264">
        <v>1</v>
      </c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>
        <v>1</v>
      </c>
      <c r="CK153" s="264">
        <v>1</v>
      </c>
      <c r="CL153" s="264"/>
      <c r="CM153" s="264" t="s">
        <v>651</v>
      </c>
      <c r="CN153" s="264"/>
      <c r="CO153" s="264"/>
      <c r="CP153" s="264"/>
      <c r="CQ153" s="264">
        <v>1</v>
      </c>
      <c r="CR153" s="264">
        <v>1</v>
      </c>
      <c r="CS153" s="264"/>
      <c r="CT153" s="264" t="s">
        <v>651</v>
      </c>
      <c r="CU153" s="264">
        <v>21</v>
      </c>
      <c r="CV153" s="264">
        <v>7</v>
      </c>
      <c r="CW153" s="264">
        <v>7</v>
      </c>
      <c r="CX153" s="264" t="s">
        <v>657</v>
      </c>
      <c r="CY153" s="264">
        <v>2</v>
      </c>
      <c r="CZ153" s="264"/>
      <c r="DA153" s="264"/>
      <c r="DB153" s="264"/>
      <c r="DC153" s="264">
        <v>2</v>
      </c>
      <c r="DD153" s="264"/>
      <c r="DE153" s="264"/>
      <c r="DF153" s="264">
        <v>3</v>
      </c>
      <c r="DG153" s="264">
        <v>2</v>
      </c>
      <c r="DH153" s="264">
        <v>2</v>
      </c>
      <c r="DI153" s="264" t="s">
        <v>657</v>
      </c>
      <c r="DJ153" s="264"/>
      <c r="DK153" s="264"/>
      <c r="DL153" s="264"/>
      <c r="DM153" s="264"/>
      <c r="DN153" s="264">
        <v>1</v>
      </c>
      <c r="DO153" s="264">
        <v>2</v>
      </c>
      <c r="DP153" s="264"/>
      <c r="DQ153" s="264" t="s">
        <v>651</v>
      </c>
      <c r="DR153" s="264">
        <v>5</v>
      </c>
      <c r="DS153" s="264"/>
      <c r="DT153" s="264">
        <v>5</v>
      </c>
      <c r="DU153" s="264"/>
      <c r="DV153" s="264">
        <v>2</v>
      </c>
      <c r="DW153" s="264"/>
      <c r="DX153" s="264">
        <v>3</v>
      </c>
      <c r="DY153" s="264"/>
      <c r="DZ153" s="264">
        <v>3</v>
      </c>
      <c r="EA153" s="264"/>
      <c r="EB153" s="264">
        <v>3</v>
      </c>
      <c r="EC153" s="264"/>
      <c r="ED153" s="264" t="s">
        <v>1176</v>
      </c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>
        <v>44</v>
      </c>
      <c r="D154" s="264" t="s">
        <v>1033</v>
      </c>
      <c r="E154" s="264">
        <v>26</v>
      </c>
      <c r="F154" s="264" t="s">
        <v>764</v>
      </c>
      <c r="G154" s="264">
        <v>44</v>
      </c>
      <c r="H154" s="264" t="s">
        <v>1033</v>
      </c>
      <c r="I154" s="264">
        <v>26</v>
      </c>
      <c r="J154" s="264" t="s">
        <v>764</v>
      </c>
      <c r="K154" s="264">
        <v>10</v>
      </c>
      <c r="L154" s="264"/>
      <c r="M154" s="264"/>
      <c r="N154" s="264" t="s">
        <v>779</v>
      </c>
      <c r="O154" s="264">
        <v>9</v>
      </c>
      <c r="P154" s="264" t="s">
        <v>670</v>
      </c>
      <c r="Q154" s="264">
        <v>2</v>
      </c>
      <c r="R154" s="264" t="s">
        <v>723</v>
      </c>
      <c r="S154" s="264">
        <v>1</v>
      </c>
      <c r="T154" s="264" t="s">
        <v>743</v>
      </c>
      <c r="U154" s="264" t="s">
        <v>667</v>
      </c>
      <c r="V154" s="264">
        <v>1</v>
      </c>
      <c r="W154" s="264" t="s">
        <v>826</v>
      </c>
      <c r="X154" s="264">
        <v>20</v>
      </c>
      <c r="Y154" s="66">
        <v>43633</v>
      </c>
      <c r="Z154" s="264">
        <v>20</v>
      </c>
      <c r="AA154" s="66">
        <v>43633</v>
      </c>
      <c r="AB154" s="264">
        <v>5</v>
      </c>
      <c r="AC154" s="264" t="s">
        <v>693</v>
      </c>
      <c r="AD154" s="264">
        <v>24</v>
      </c>
      <c r="AE154" s="264" t="s">
        <v>1335</v>
      </c>
      <c r="AF154" s="264">
        <v>6</v>
      </c>
      <c r="AG154" s="264" t="s">
        <v>862</v>
      </c>
      <c r="AH154" s="264">
        <v>5</v>
      </c>
      <c r="AI154" s="264" t="s">
        <v>1067</v>
      </c>
      <c r="AJ154" s="264">
        <v>7</v>
      </c>
      <c r="AK154" s="264" t="s">
        <v>1030</v>
      </c>
      <c r="AL154" s="264"/>
      <c r="AM154" s="264"/>
      <c r="AN154" s="264">
        <v>7</v>
      </c>
      <c r="AO154" s="264" t="s">
        <v>852</v>
      </c>
      <c r="AP154" s="66">
        <v>43723</v>
      </c>
      <c r="AQ154" s="264"/>
      <c r="AR154" s="264"/>
      <c r="AS154" s="264">
        <v>7</v>
      </c>
      <c r="AT154" s="264" t="s">
        <v>785</v>
      </c>
      <c r="AU154" s="66">
        <v>43723</v>
      </c>
      <c r="AV154" s="264">
        <v>2</v>
      </c>
      <c r="AW154" s="264" t="s">
        <v>677</v>
      </c>
      <c r="AX154" s="264"/>
      <c r="AY154" s="264" t="s">
        <v>650</v>
      </c>
      <c r="AZ154" s="264"/>
      <c r="BA154" s="264">
        <v>14</v>
      </c>
      <c r="BB154" s="66">
        <v>43551</v>
      </c>
      <c r="BC154" s="264" t="s">
        <v>769</v>
      </c>
      <c r="BD154" s="264">
        <v>12</v>
      </c>
      <c r="BE154" s="264" t="s">
        <v>672</v>
      </c>
      <c r="BF154" s="264" t="s">
        <v>815</v>
      </c>
      <c r="BG154" s="264">
        <v>13</v>
      </c>
      <c r="BH154" s="264" t="s">
        <v>865</v>
      </c>
      <c r="BI154" s="264" t="s">
        <v>657</v>
      </c>
      <c r="BJ154" s="264"/>
      <c r="BK154" s="264"/>
      <c r="BL154" s="264"/>
      <c r="BM154" s="264"/>
      <c r="BN154" s="264"/>
      <c r="BO154" s="264"/>
      <c r="BP154" s="264">
        <v>1</v>
      </c>
      <c r="BQ154" s="264">
        <v>1</v>
      </c>
      <c r="BR154" s="264"/>
      <c r="BS154" s="264" t="s">
        <v>651</v>
      </c>
      <c r="BT154" s="264"/>
      <c r="BU154" s="264"/>
      <c r="BV154" s="264"/>
      <c r="BW154" s="264"/>
      <c r="BX154" s="264">
        <v>2</v>
      </c>
      <c r="BY154" s="264"/>
      <c r="BZ154" s="264"/>
      <c r="CA154" s="264"/>
      <c r="CB154" s="264"/>
      <c r="CC154" s="264"/>
      <c r="CD154" s="264"/>
      <c r="CE154" s="264"/>
      <c r="CF154" s="264">
        <v>1</v>
      </c>
      <c r="CG154" s="264"/>
      <c r="CH154" s="264"/>
      <c r="CI154" s="264"/>
      <c r="CJ154" s="264"/>
      <c r="CK154" s="264">
        <v>2</v>
      </c>
      <c r="CL154" s="264"/>
      <c r="CM154" s="264" t="s">
        <v>651</v>
      </c>
      <c r="CN154" s="264"/>
      <c r="CO154" s="264"/>
      <c r="CP154" s="264"/>
      <c r="CQ154" s="264">
        <v>1</v>
      </c>
      <c r="CR154" s="264"/>
      <c r="CS154" s="264"/>
      <c r="CT154" s="264"/>
      <c r="CU154" s="264">
        <v>10</v>
      </c>
      <c r="CV154" s="264">
        <v>2</v>
      </c>
      <c r="CW154" s="264">
        <v>6</v>
      </c>
      <c r="CX154" s="264" t="s">
        <v>688</v>
      </c>
      <c r="CY154" s="264">
        <v>1</v>
      </c>
      <c r="CZ154" s="264"/>
      <c r="DA154" s="264"/>
      <c r="DB154" s="264"/>
      <c r="DC154" s="264"/>
      <c r="DD154" s="264"/>
      <c r="DE154" s="264"/>
      <c r="DF154" s="264">
        <v>1</v>
      </c>
      <c r="DG154" s="264"/>
      <c r="DH154" s="264">
        <v>1</v>
      </c>
      <c r="DI154" s="264"/>
      <c r="DJ154" s="264"/>
      <c r="DK154" s="264"/>
      <c r="DL154" s="264"/>
      <c r="DM154" s="264"/>
      <c r="DN154" s="264">
        <v>1</v>
      </c>
      <c r="DO154" s="264">
        <v>2</v>
      </c>
      <c r="DP154" s="264"/>
      <c r="DQ154" s="264" t="s">
        <v>651</v>
      </c>
      <c r="DR154" s="264">
        <v>6</v>
      </c>
      <c r="DS154" s="264" t="s">
        <v>690</v>
      </c>
      <c r="DT154" s="264">
        <v>5</v>
      </c>
      <c r="DU154" s="264"/>
      <c r="DV154" s="264"/>
      <c r="DW154" s="264" t="s">
        <v>650</v>
      </c>
      <c r="DX154" s="264"/>
      <c r="DY154" s="264" t="s">
        <v>650</v>
      </c>
      <c r="DZ154" s="264"/>
      <c r="EA154" s="264" t="s">
        <v>650</v>
      </c>
      <c r="EB154" s="264"/>
      <c r="EC154" s="264" t="s">
        <v>650</v>
      </c>
      <c r="ED154" s="264"/>
      <c r="EE154" s="264">
        <v>5</v>
      </c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>
        <v>1</v>
      </c>
      <c r="ER154" s="264"/>
      <c r="ES154" s="264"/>
      <c r="ET154" s="264"/>
      <c r="EU154" s="264"/>
    </row>
    <row r="155" spans="1:151">
      <c r="A155" s="160"/>
      <c r="B155" s="1" t="s">
        <v>1</v>
      </c>
      <c r="C155" s="264" t="s">
        <v>649</v>
      </c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 t="s">
        <v>652</v>
      </c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 t="s">
        <v>37</v>
      </c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 t="s">
        <v>653</v>
      </c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 t="s">
        <v>654</v>
      </c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 t="s">
        <v>649</v>
      </c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 t="s">
        <v>655</v>
      </c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 t="s">
        <v>37</v>
      </c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>
        <v>39</v>
      </c>
      <c r="D156" s="264"/>
      <c r="E156" s="264">
        <v>41</v>
      </c>
      <c r="F156" s="264"/>
      <c r="G156" s="264">
        <v>39</v>
      </c>
      <c r="H156" s="264"/>
      <c r="I156" s="264">
        <v>41</v>
      </c>
      <c r="J156" s="264"/>
      <c r="K156" s="264">
        <v>16</v>
      </c>
      <c r="L156" s="264"/>
      <c r="M156" s="264"/>
      <c r="N156" s="264" t="s">
        <v>1064</v>
      </c>
      <c r="O156" s="264">
        <v>5</v>
      </c>
      <c r="P156" s="264"/>
      <c r="Q156" s="264">
        <v>12</v>
      </c>
      <c r="R156" s="264"/>
      <c r="S156" s="264">
        <v>3</v>
      </c>
      <c r="T156" s="264"/>
      <c r="U156" s="264" t="s">
        <v>693</v>
      </c>
      <c r="V156" s="264"/>
      <c r="W156" s="264"/>
      <c r="X156" s="264">
        <v>22</v>
      </c>
      <c r="Y156" s="264"/>
      <c r="Z156" s="264">
        <v>18</v>
      </c>
      <c r="AA156" s="264"/>
      <c r="AB156" s="264">
        <v>3</v>
      </c>
      <c r="AC156" s="264" t="s">
        <v>660</v>
      </c>
      <c r="AD156" s="264">
        <v>17</v>
      </c>
      <c r="AE156" s="264"/>
      <c r="AF156" s="264">
        <v>23</v>
      </c>
      <c r="AG156" s="264"/>
      <c r="AH156" s="264">
        <v>13</v>
      </c>
      <c r="AI156" s="264" t="s">
        <v>1059</v>
      </c>
      <c r="AJ156" s="264">
        <v>6</v>
      </c>
      <c r="AK156" s="264"/>
      <c r="AL156" s="264">
        <v>1</v>
      </c>
      <c r="AM156" s="264"/>
      <c r="AN156" s="264">
        <v>7</v>
      </c>
      <c r="AO156" s="264"/>
      <c r="AP156" s="66">
        <v>43725</v>
      </c>
      <c r="AQ156" s="264"/>
      <c r="AR156" s="264"/>
      <c r="AS156" s="264">
        <v>6</v>
      </c>
      <c r="AT156" s="264"/>
      <c r="AU156" s="66">
        <v>43570</v>
      </c>
      <c r="AV156" s="264"/>
      <c r="AW156" s="264"/>
      <c r="AX156" s="264">
        <v>2</v>
      </c>
      <c r="AY156" s="264"/>
      <c r="AZ156" s="66">
        <v>43712</v>
      </c>
      <c r="BA156" s="264">
        <v>15</v>
      </c>
      <c r="BB156" s="264"/>
      <c r="BC156" s="264" t="s">
        <v>1077</v>
      </c>
      <c r="BD156" s="264">
        <v>13</v>
      </c>
      <c r="BE156" s="264"/>
      <c r="BF156" s="66">
        <v>43677</v>
      </c>
      <c r="BG156" s="264">
        <v>13</v>
      </c>
      <c r="BH156" s="264"/>
      <c r="BI156" s="66">
        <v>43677</v>
      </c>
      <c r="BJ156" s="264"/>
      <c r="BK156" s="264"/>
      <c r="BL156" s="264"/>
      <c r="BM156" s="264"/>
      <c r="BN156" s="264"/>
      <c r="BO156" s="264"/>
      <c r="BP156" s="264">
        <v>1</v>
      </c>
      <c r="BQ156" s="264"/>
      <c r="BR156" s="264"/>
      <c r="BS156" s="264"/>
      <c r="BT156" s="264"/>
      <c r="BU156" s="264"/>
      <c r="BV156" s="264"/>
      <c r="BW156" s="264"/>
      <c r="BX156" s="264"/>
      <c r="BY156" s="264">
        <v>1</v>
      </c>
      <c r="BZ156" s="264"/>
      <c r="CA156" s="264" t="s">
        <v>651</v>
      </c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>
        <v>1</v>
      </c>
      <c r="CL156" s="264"/>
      <c r="CM156" s="264" t="s">
        <v>651</v>
      </c>
      <c r="CN156" s="264"/>
      <c r="CO156" s="264"/>
      <c r="CP156" s="264"/>
      <c r="CQ156" s="264"/>
      <c r="CR156" s="264"/>
      <c r="CS156" s="264"/>
      <c r="CT156" s="264"/>
      <c r="CU156" s="264">
        <v>14</v>
      </c>
      <c r="CV156" s="264">
        <v>8</v>
      </c>
      <c r="CW156" s="264">
        <v>10</v>
      </c>
      <c r="CX156" s="264" t="s">
        <v>726</v>
      </c>
      <c r="CY156" s="264">
        <v>1</v>
      </c>
      <c r="CZ156" s="264"/>
      <c r="DA156" s="264">
        <v>2</v>
      </c>
      <c r="DB156" s="264"/>
      <c r="DC156" s="264"/>
      <c r="DD156" s="264">
        <v>1</v>
      </c>
      <c r="DE156" s="264"/>
      <c r="DF156" s="264">
        <v>1</v>
      </c>
      <c r="DG156" s="264">
        <v>2</v>
      </c>
      <c r="DH156" s="264">
        <v>5</v>
      </c>
      <c r="DI156" s="66">
        <v>43644</v>
      </c>
      <c r="DJ156" s="264"/>
      <c r="DK156" s="264"/>
      <c r="DL156" s="264"/>
      <c r="DM156" s="264"/>
      <c r="DN156" s="264">
        <v>2</v>
      </c>
      <c r="DO156" s="264">
        <v>3</v>
      </c>
      <c r="DP156" s="264">
        <v>1</v>
      </c>
      <c r="DQ156" s="264" t="s">
        <v>734</v>
      </c>
      <c r="DR156" s="264">
        <v>2</v>
      </c>
      <c r="DS156" s="264"/>
      <c r="DT156" s="264">
        <v>2</v>
      </c>
      <c r="DU156" s="264"/>
      <c r="DV156" s="264">
        <v>2</v>
      </c>
      <c r="DW156" s="264"/>
      <c r="DX156" s="264">
        <v>9</v>
      </c>
      <c r="DY156" s="264"/>
      <c r="DZ156" s="264">
        <v>9</v>
      </c>
      <c r="EA156" s="264"/>
      <c r="EB156" s="264">
        <v>9</v>
      </c>
      <c r="EC156" s="264"/>
      <c r="ED156" s="264" t="s">
        <v>1096</v>
      </c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>
        <v>53</v>
      </c>
      <c r="D157" s="264" t="s">
        <v>1031</v>
      </c>
      <c r="E157" s="264">
        <v>29</v>
      </c>
      <c r="F157" s="264" t="s">
        <v>1138</v>
      </c>
      <c r="G157" s="264">
        <v>53</v>
      </c>
      <c r="H157" s="264" t="s">
        <v>1031</v>
      </c>
      <c r="I157" s="264">
        <v>29</v>
      </c>
      <c r="J157" s="264" t="s">
        <v>1138</v>
      </c>
      <c r="K157" s="264">
        <v>12</v>
      </c>
      <c r="L157" s="264" t="s">
        <v>672</v>
      </c>
      <c r="M157" s="264">
        <v>1</v>
      </c>
      <c r="N157" s="264" t="s">
        <v>1105</v>
      </c>
      <c r="O157" s="264">
        <v>5</v>
      </c>
      <c r="P157" s="264"/>
      <c r="Q157" s="264">
        <v>3</v>
      </c>
      <c r="R157" s="264" t="s">
        <v>728</v>
      </c>
      <c r="S157" s="264">
        <v>1</v>
      </c>
      <c r="T157" s="264" t="s">
        <v>743</v>
      </c>
      <c r="U157" s="264" t="s">
        <v>734</v>
      </c>
      <c r="V157" s="264"/>
      <c r="W157" s="264"/>
      <c r="X157" s="264">
        <v>33</v>
      </c>
      <c r="Y157" s="264" t="s">
        <v>657</v>
      </c>
      <c r="Z157" s="264">
        <v>20</v>
      </c>
      <c r="AA157" s="66">
        <v>43476</v>
      </c>
      <c r="AB157" s="264">
        <v>3</v>
      </c>
      <c r="AC157" s="264" t="s">
        <v>804</v>
      </c>
      <c r="AD157" s="264">
        <v>20</v>
      </c>
      <c r="AE157" s="66">
        <v>43633</v>
      </c>
      <c r="AF157" s="264">
        <v>9</v>
      </c>
      <c r="AG157" s="264" t="s">
        <v>1134</v>
      </c>
      <c r="AH157" s="264">
        <v>9</v>
      </c>
      <c r="AI157" s="264" t="s">
        <v>657</v>
      </c>
      <c r="AJ157" s="264">
        <v>7</v>
      </c>
      <c r="AK157" s="66">
        <v>43662</v>
      </c>
      <c r="AL157" s="264">
        <v>2</v>
      </c>
      <c r="AM157" s="264" t="s">
        <v>651</v>
      </c>
      <c r="AN157" s="264">
        <v>14</v>
      </c>
      <c r="AO157" s="264" t="s">
        <v>651</v>
      </c>
      <c r="AP157" s="66">
        <v>43581</v>
      </c>
      <c r="AQ157" s="264"/>
      <c r="AR157" s="264"/>
      <c r="AS157" s="264">
        <v>14</v>
      </c>
      <c r="AT157" s="264" t="s">
        <v>746</v>
      </c>
      <c r="AU157" s="66">
        <v>43581</v>
      </c>
      <c r="AV157" s="264">
        <v>1</v>
      </c>
      <c r="AW157" s="264" t="s">
        <v>651</v>
      </c>
      <c r="AX157" s="264"/>
      <c r="AY157" s="264" t="s">
        <v>650</v>
      </c>
      <c r="AZ157" s="264"/>
      <c r="BA157" s="264">
        <v>11</v>
      </c>
      <c r="BB157" s="264" t="s">
        <v>883</v>
      </c>
      <c r="BC157" s="264" t="s">
        <v>1056</v>
      </c>
      <c r="BD157" s="264">
        <v>12</v>
      </c>
      <c r="BE157" s="264" t="s">
        <v>689</v>
      </c>
      <c r="BF157" s="264" t="s">
        <v>1083</v>
      </c>
      <c r="BG157" s="264">
        <v>17</v>
      </c>
      <c r="BH157" s="66">
        <v>43707</v>
      </c>
      <c r="BI157" s="264" t="s">
        <v>1120</v>
      </c>
      <c r="BJ157" s="264">
        <v>1</v>
      </c>
      <c r="BK157" s="264" t="s">
        <v>651</v>
      </c>
      <c r="BL157" s="66">
        <v>43558</v>
      </c>
      <c r="BM157" s="264">
        <v>1</v>
      </c>
      <c r="BN157" s="264" t="s">
        <v>651</v>
      </c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>
        <v>1</v>
      </c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>
        <v>14</v>
      </c>
      <c r="CV157" s="264">
        <v>9</v>
      </c>
      <c r="CW157" s="264">
        <v>7</v>
      </c>
      <c r="CX157" s="264" t="s">
        <v>1048</v>
      </c>
      <c r="CY157" s="264">
        <v>1</v>
      </c>
      <c r="CZ157" s="264"/>
      <c r="DA157" s="264"/>
      <c r="DB157" s="264"/>
      <c r="DC157" s="264"/>
      <c r="DD157" s="264"/>
      <c r="DE157" s="264"/>
      <c r="DF157" s="264">
        <v>7</v>
      </c>
      <c r="DG157" s="264"/>
      <c r="DH157" s="264">
        <v>2</v>
      </c>
      <c r="DI157" s="264"/>
      <c r="DJ157" s="264"/>
      <c r="DK157" s="264"/>
      <c r="DL157" s="264"/>
      <c r="DM157" s="264"/>
      <c r="DN157" s="264">
        <v>1</v>
      </c>
      <c r="DO157" s="264">
        <v>1</v>
      </c>
      <c r="DP157" s="264">
        <v>1</v>
      </c>
      <c r="DQ157" s="264" t="s">
        <v>657</v>
      </c>
      <c r="DR157" s="264">
        <v>2</v>
      </c>
      <c r="DS157" s="264"/>
      <c r="DT157" s="264">
        <v>1</v>
      </c>
      <c r="DU157" s="264" t="s">
        <v>678</v>
      </c>
      <c r="DV157" s="264"/>
      <c r="DW157" s="264" t="s">
        <v>650</v>
      </c>
      <c r="DX157" s="264">
        <v>2</v>
      </c>
      <c r="DY157" s="264" t="s">
        <v>979</v>
      </c>
      <c r="DZ157" s="264">
        <v>2</v>
      </c>
      <c r="EA157" s="264" t="s">
        <v>979</v>
      </c>
      <c r="EB157" s="264">
        <v>1</v>
      </c>
      <c r="EC157" s="264" t="s">
        <v>1289</v>
      </c>
      <c r="ED157" s="66">
        <v>43473</v>
      </c>
      <c r="EE157" s="264">
        <v>1</v>
      </c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>
        <v>1</v>
      </c>
      <c r="ER157" s="264"/>
      <c r="ES157" s="264"/>
      <c r="ET157" s="264"/>
      <c r="EU157" s="264"/>
    </row>
    <row r="158" spans="1:151">
      <c r="A158" s="160"/>
      <c r="B158" s="1" t="s">
        <v>1</v>
      </c>
      <c r="C158" s="264" t="s">
        <v>649</v>
      </c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 t="s">
        <v>652</v>
      </c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 t="s">
        <v>37</v>
      </c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 t="s">
        <v>653</v>
      </c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 t="s">
        <v>654</v>
      </c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 t="s">
        <v>649</v>
      </c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 t="s">
        <v>655</v>
      </c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 t="s">
        <v>37</v>
      </c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>
        <v>28</v>
      </c>
      <c r="D159" s="264"/>
      <c r="E159" s="264">
        <v>29</v>
      </c>
      <c r="F159" s="264"/>
      <c r="G159" s="264">
        <v>28</v>
      </c>
      <c r="H159" s="264"/>
      <c r="I159" s="264">
        <v>29</v>
      </c>
      <c r="J159" s="264"/>
      <c r="K159" s="264">
        <v>6</v>
      </c>
      <c r="L159" s="264"/>
      <c r="M159" s="264"/>
      <c r="N159" s="264" t="s">
        <v>1062</v>
      </c>
      <c r="O159" s="264">
        <v>5</v>
      </c>
      <c r="P159" s="264"/>
      <c r="Q159" s="264">
        <v>8</v>
      </c>
      <c r="R159" s="264"/>
      <c r="S159" s="264">
        <v>2</v>
      </c>
      <c r="T159" s="264"/>
      <c r="U159" s="264" t="s">
        <v>693</v>
      </c>
      <c r="V159" s="264">
        <v>1</v>
      </c>
      <c r="W159" s="66">
        <v>43647</v>
      </c>
      <c r="X159" s="264">
        <v>16</v>
      </c>
      <c r="Y159" s="264"/>
      <c r="Z159" s="264">
        <v>17</v>
      </c>
      <c r="AA159" s="264"/>
      <c r="AB159" s="264">
        <v>1</v>
      </c>
      <c r="AC159" s="264" t="s">
        <v>845</v>
      </c>
      <c r="AD159" s="264">
        <v>12</v>
      </c>
      <c r="AE159" s="264"/>
      <c r="AF159" s="264">
        <v>12</v>
      </c>
      <c r="AG159" s="264"/>
      <c r="AH159" s="264">
        <v>5</v>
      </c>
      <c r="AI159" s="264" t="s">
        <v>807</v>
      </c>
      <c r="AJ159" s="264">
        <v>9</v>
      </c>
      <c r="AK159" s="264"/>
      <c r="AL159" s="264"/>
      <c r="AM159" s="264"/>
      <c r="AN159" s="264">
        <v>5</v>
      </c>
      <c r="AO159" s="264"/>
      <c r="AP159" s="66">
        <v>43725</v>
      </c>
      <c r="AQ159" s="264"/>
      <c r="AR159" s="264"/>
      <c r="AS159" s="264">
        <v>3</v>
      </c>
      <c r="AT159" s="264"/>
      <c r="AU159" s="66">
        <v>43656</v>
      </c>
      <c r="AV159" s="264">
        <v>1</v>
      </c>
      <c r="AW159" s="264"/>
      <c r="AX159" s="264">
        <v>1</v>
      </c>
      <c r="AY159" s="264"/>
      <c r="AZ159" s="66">
        <v>43558</v>
      </c>
      <c r="BA159" s="264">
        <v>24</v>
      </c>
      <c r="BB159" s="264"/>
      <c r="BC159" s="264" t="s">
        <v>1092</v>
      </c>
      <c r="BD159" s="264">
        <v>13</v>
      </c>
      <c r="BE159" s="264"/>
      <c r="BF159" s="264" t="s">
        <v>805</v>
      </c>
      <c r="BG159" s="264">
        <v>19</v>
      </c>
      <c r="BH159" s="264"/>
      <c r="BI159" s="264" t="s">
        <v>981</v>
      </c>
      <c r="BJ159" s="264">
        <v>2</v>
      </c>
      <c r="BK159" s="264"/>
      <c r="BL159" s="66">
        <v>43714</v>
      </c>
      <c r="BM159" s="264">
        <v>2</v>
      </c>
      <c r="BN159" s="264" t="s">
        <v>651</v>
      </c>
      <c r="BO159" s="264"/>
      <c r="BP159" s="264"/>
      <c r="BQ159" s="264">
        <v>1</v>
      </c>
      <c r="BR159" s="264"/>
      <c r="BS159" s="264" t="s">
        <v>651</v>
      </c>
      <c r="BT159" s="264"/>
      <c r="BU159" s="264">
        <v>1</v>
      </c>
      <c r="BV159" s="264"/>
      <c r="BW159" s="264" t="s">
        <v>651</v>
      </c>
      <c r="BX159" s="264">
        <v>1</v>
      </c>
      <c r="BY159" s="264"/>
      <c r="BZ159" s="264"/>
      <c r="CA159" s="264"/>
      <c r="CB159" s="264"/>
      <c r="CC159" s="264"/>
      <c r="CD159" s="264"/>
      <c r="CE159" s="264"/>
      <c r="CF159" s="264"/>
      <c r="CG159" s="264">
        <v>1</v>
      </c>
      <c r="CH159" s="264"/>
      <c r="CI159" s="264" t="s">
        <v>651</v>
      </c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>
        <v>8</v>
      </c>
      <c r="CV159" s="264">
        <v>10</v>
      </c>
      <c r="CW159" s="264">
        <v>4</v>
      </c>
      <c r="CX159" s="264" t="s">
        <v>837</v>
      </c>
      <c r="CY159" s="264">
        <v>1</v>
      </c>
      <c r="CZ159" s="264">
        <v>2</v>
      </c>
      <c r="DA159" s="264">
        <v>1</v>
      </c>
      <c r="DB159" s="264" t="s">
        <v>667</v>
      </c>
      <c r="DC159" s="264"/>
      <c r="DD159" s="264"/>
      <c r="DE159" s="264"/>
      <c r="DF159" s="264"/>
      <c r="DG159" s="264"/>
      <c r="DH159" s="264">
        <v>1</v>
      </c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>
        <v>2</v>
      </c>
      <c r="DS159" s="264"/>
      <c r="DT159" s="264">
        <v>2</v>
      </c>
      <c r="DU159" s="264"/>
      <c r="DV159" s="264">
        <v>1</v>
      </c>
      <c r="DW159" s="264"/>
      <c r="DX159" s="264"/>
      <c r="DY159" s="264"/>
      <c r="DZ159" s="264"/>
      <c r="EA159" s="264"/>
      <c r="EB159" s="264"/>
      <c r="EC159" s="264"/>
      <c r="ED159" s="264"/>
      <c r="EE159" s="264">
        <v>1</v>
      </c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>
        <v>34</v>
      </c>
      <c r="D160" s="66">
        <v>43576</v>
      </c>
      <c r="E160" s="264">
        <v>14</v>
      </c>
      <c r="F160" s="264" t="s">
        <v>1079</v>
      </c>
      <c r="G160" s="264">
        <v>34</v>
      </c>
      <c r="H160" s="66">
        <v>43576</v>
      </c>
      <c r="I160" s="264">
        <v>14</v>
      </c>
      <c r="J160" s="264" t="s">
        <v>1079</v>
      </c>
      <c r="K160" s="264">
        <v>5</v>
      </c>
      <c r="L160" s="264" t="s">
        <v>692</v>
      </c>
      <c r="M160" s="264"/>
      <c r="N160" s="264" t="s">
        <v>867</v>
      </c>
      <c r="O160" s="264">
        <v>9</v>
      </c>
      <c r="P160" s="264" t="s">
        <v>693</v>
      </c>
      <c r="Q160" s="264">
        <v>2</v>
      </c>
      <c r="R160" s="264" t="s">
        <v>728</v>
      </c>
      <c r="S160" s="264">
        <v>2</v>
      </c>
      <c r="T160" s="264"/>
      <c r="U160" s="264" t="s">
        <v>657</v>
      </c>
      <c r="V160" s="264"/>
      <c r="W160" s="264"/>
      <c r="X160" s="264">
        <v>19</v>
      </c>
      <c r="Y160" s="66">
        <v>43695</v>
      </c>
      <c r="Z160" s="264">
        <v>9</v>
      </c>
      <c r="AA160" s="264" t="s">
        <v>1012</v>
      </c>
      <c r="AB160" s="264">
        <v>2</v>
      </c>
      <c r="AC160" s="264" t="s">
        <v>684</v>
      </c>
      <c r="AD160" s="264">
        <v>15</v>
      </c>
      <c r="AE160" s="264" t="s">
        <v>688</v>
      </c>
      <c r="AF160" s="264">
        <v>5</v>
      </c>
      <c r="AG160" s="264" t="s">
        <v>1068</v>
      </c>
      <c r="AH160" s="264">
        <v>3</v>
      </c>
      <c r="AI160" s="264" t="s">
        <v>713</v>
      </c>
      <c r="AJ160" s="264">
        <v>6</v>
      </c>
      <c r="AK160" s="264" t="s">
        <v>677</v>
      </c>
      <c r="AL160" s="264"/>
      <c r="AM160" s="264"/>
      <c r="AN160" s="264">
        <v>5</v>
      </c>
      <c r="AO160" s="264"/>
      <c r="AP160" s="66">
        <v>43660</v>
      </c>
      <c r="AQ160" s="264">
        <v>1</v>
      </c>
      <c r="AR160" s="264" t="s">
        <v>651</v>
      </c>
      <c r="AS160" s="264">
        <v>4</v>
      </c>
      <c r="AT160" s="264" t="s">
        <v>714</v>
      </c>
      <c r="AU160" s="66">
        <v>43688</v>
      </c>
      <c r="AV160" s="264">
        <v>3</v>
      </c>
      <c r="AW160" s="264" t="s">
        <v>697</v>
      </c>
      <c r="AX160" s="264">
        <v>2</v>
      </c>
      <c r="AY160" s="264" t="s">
        <v>651</v>
      </c>
      <c r="AZ160" s="66">
        <v>43538</v>
      </c>
      <c r="BA160" s="264">
        <v>8</v>
      </c>
      <c r="BB160" s="264" t="s">
        <v>743</v>
      </c>
      <c r="BC160" s="264" t="s">
        <v>744</v>
      </c>
      <c r="BD160" s="264">
        <v>6</v>
      </c>
      <c r="BE160" s="264" t="s">
        <v>1044</v>
      </c>
      <c r="BF160" s="264" t="s">
        <v>772</v>
      </c>
      <c r="BG160" s="264">
        <v>7</v>
      </c>
      <c r="BH160" s="264" t="s">
        <v>971</v>
      </c>
      <c r="BI160" s="264" t="s">
        <v>657</v>
      </c>
      <c r="BJ160" s="264">
        <v>1</v>
      </c>
      <c r="BK160" s="264" t="s">
        <v>678</v>
      </c>
      <c r="BL160" s="66">
        <v>43472</v>
      </c>
      <c r="BM160" s="264">
        <v>1</v>
      </c>
      <c r="BN160" s="264" t="s">
        <v>651</v>
      </c>
      <c r="BO160" s="264"/>
      <c r="BP160" s="264"/>
      <c r="BQ160" s="264">
        <v>1</v>
      </c>
      <c r="BR160" s="264">
        <v>1</v>
      </c>
      <c r="BS160" s="264" t="s">
        <v>657</v>
      </c>
      <c r="BT160" s="264"/>
      <c r="BU160" s="264"/>
      <c r="BV160" s="264"/>
      <c r="BW160" s="264"/>
      <c r="BX160" s="264">
        <v>1</v>
      </c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>
        <v>10</v>
      </c>
      <c r="CV160" s="264">
        <v>3</v>
      </c>
      <c r="CW160" s="264">
        <v>2</v>
      </c>
      <c r="CX160" s="264" t="s">
        <v>676</v>
      </c>
      <c r="CY160" s="264">
        <v>3</v>
      </c>
      <c r="CZ160" s="264"/>
      <c r="DA160" s="264"/>
      <c r="DB160" s="264"/>
      <c r="DC160" s="264"/>
      <c r="DD160" s="264"/>
      <c r="DE160" s="264"/>
      <c r="DF160" s="264">
        <v>3</v>
      </c>
      <c r="DG160" s="264"/>
      <c r="DH160" s="264"/>
      <c r="DI160" s="264"/>
      <c r="DJ160" s="264"/>
      <c r="DK160" s="264"/>
      <c r="DL160" s="264"/>
      <c r="DM160" s="264"/>
      <c r="DN160" s="264">
        <v>1</v>
      </c>
      <c r="DO160" s="264"/>
      <c r="DP160" s="264"/>
      <c r="DQ160" s="264"/>
      <c r="DR160" s="264"/>
      <c r="DS160" s="264" t="s">
        <v>650</v>
      </c>
      <c r="DT160" s="264"/>
      <c r="DU160" s="264" t="s">
        <v>650</v>
      </c>
      <c r="DV160" s="264"/>
      <c r="DW160" s="264" t="s">
        <v>650</v>
      </c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 t="s">
        <v>649</v>
      </c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 t="s">
        <v>652</v>
      </c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 t="s">
        <v>37</v>
      </c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 t="s">
        <v>653</v>
      </c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 t="s">
        <v>654</v>
      </c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 t="s">
        <v>649</v>
      </c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 t="s">
        <v>655</v>
      </c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 t="s">
        <v>37</v>
      </c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>
        <v>9</v>
      </c>
      <c r="D162" s="264"/>
      <c r="E162" s="264">
        <v>8</v>
      </c>
      <c r="F162" s="264"/>
      <c r="G162" s="264">
        <v>9</v>
      </c>
      <c r="H162" s="264"/>
      <c r="I162" s="264">
        <v>8</v>
      </c>
      <c r="J162" s="264"/>
      <c r="K162" s="264">
        <v>1</v>
      </c>
      <c r="L162" s="264"/>
      <c r="M162" s="264"/>
      <c r="N162" s="264" t="s">
        <v>675</v>
      </c>
      <c r="O162" s="264">
        <v>3</v>
      </c>
      <c r="P162" s="264"/>
      <c r="Q162" s="264">
        <v>2</v>
      </c>
      <c r="R162" s="264"/>
      <c r="S162" s="264"/>
      <c r="T162" s="264"/>
      <c r="U162" s="264" t="s">
        <v>651</v>
      </c>
      <c r="V162" s="264">
        <v>1</v>
      </c>
      <c r="W162" s="66">
        <v>43528</v>
      </c>
      <c r="X162" s="264">
        <v>4</v>
      </c>
      <c r="Y162" s="264"/>
      <c r="Z162" s="264">
        <v>4</v>
      </c>
      <c r="AA162" s="264"/>
      <c r="AB162" s="264"/>
      <c r="AC162" s="264" t="s">
        <v>651</v>
      </c>
      <c r="AD162" s="264">
        <v>5</v>
      </c>
      <c r="AE162" s="264"/>
      <c r="AF162" s="264">
        <v>4</v>
      </c>
      <c r="AG162" s="264"/>
      <c r="AH162" s="264">
        <v>1</v>
      </c>
      <c r="AI162" s="264" t="s">
        <v>693</v>
      </c>
      <c r="AJ162" s="264">
        <v>2</v>
      </c>
      <c r="AK162" s="264"/>
      <c r="AL162" s="264"/>
      <c r="AM162" s="264"/>
      <c r="AN162" s="264">
        <v>5</v>
      </c>
      <c r="AO162" s="264"/>
      <c r="AP162" s="264" t="s">
        <v>727</v>
      </c>
      <c r="AQ162" s="264"/>
      <c r="AR162" s="264"/>
      <c r="AS162" s="264">
        <v>3</v>
      </c>
      <c r="AT162" s="264"/>
      <c r="AU162" s="264" t="s">
        <v>714</v>
      </c>
      <c r="AV162" s="264">
        <v>1</v>
      </c>
      <c r="AW162" s="264"/>
      <c r="AX162" s="264">
        <v>1</v>
      </c>
      <c r="AY162" s="264"/>
      <c r="AZ162" s="66">
        <v>43597</v>
      </c>
      <c r="BA162" s="264">
        <v>7</v>
      </c>
      <c r="BB162" s="264"/>
      <c r="BC162" s="264" t="s">
        <v>720</v>
      </c>
      <c r="BD162" s="264">
        <v>5</v>
      </c>
      <c r="BE162" s="264"/>
      <c r="BF162" s="264" t="s">
        <v>713</v>
      </c>
      <c r="BG162" s="264">
        <v>4</v>
      </c>
      <c r="BH162" s="264"/>
      <c r="BI162" s="264" t="s">
        <v>657</v>
      </c>
      <c r="BJ162" s="264">
        <v>2</v>
      </c>
      <c r="BK162" s="264"/>
      <c r="BL162" s="264" t="s">
        <v>688</v>
      </c>
      <c r="BM162" s="264">
        <v>2</v>
      </c>
      <c r="BN162" s="264" t="s">
        <v>651</v>
      </c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>
        <v>1</v>
      </c>
      <c r="CH162" s="264"/>
      <c r="CI162" s="264" t="s">
        <v>651</v>
      </c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>
        <v>1</v>
      </c>
      <c r="CV162" s="264">
        <v>2</v>
      </c>
      <c r="CW162" s="264"/>
      <c r="CX162" s="264" t="s">
        <v>651</v>
      </c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>
        <v>1</v>
      </c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>
        <v>1</v>
      </c>
      <c r="DS162" s="264"/>
      <c r="DT162" s="264">
        <v>1</v>
      </c>
      <c r="DU162" s="264"/>
      <c r="DV162" s="264">
        <v>1</v>
      </c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>
        <v>9</v>
      </c>
      <c r="D163" s="264"/>
      <c r="E163" s="264">
        <v>3</v>
      </c>
      <c r="F163" s="264" t="s">
        <v>812</v>
      </c>
      <c r="G163" s="264">
        <v>9</v>
      </c>
      <c r="H163" s="264"/>
      <c r="I163" s="264">
        <v>3</v>
      </c>
      <c r="J163" s="264" t="s">
        <v>812</v>
      </c>
      <c r="K163" s="264">
        <v>2</v>
      </c>
      <c r="L163" s="264" t="s">
        <v>651</v>
      </c>
      <c r="M163" s="264"/>
      <c r="N163" s="264" t="s">
        <v>676</v>
      </c>
      <c r="O163" s="264">
        <v>3</v>
      </c>
      <c r="P163" s="264"/>
      <c r="Q163" s="264"/>
      <c r="R163" s="264" t="s">
        <v>650</v>
      </c>
      <c r="S163" s="264">
        <v>1</v>
      </c>
      <c r="T163" s="264" t="s">
        <v>651</v>
      </c>
      <c r="U163" s="264"/>
      <c r="V163" s="264"/>
      <c r="W163" s="264"/>
      <c r="X163" s="264">
        <v>6</v>
      </c>
      <c r="Y163" s="264" t="s">
        <v>657</v>
      </c>
      <c r="Z163" s="264">
        <v>1</v>
      </c>
      <c r="AA163" s="264" t="s">
        <v>728</v>
      </c>
      <c r="AB163" s="264"/>
      <c r="AC163" s="264" t="s">
        <v>651</v>
      </c>
      <c r="AD163" s="264">
        <v>3</v>
      </c>
      <c r="AE163" s="264" t="s">
        <v>706</v>
      </c>
      <c r="AF163" s="264">
        <v>2</v>
      </c>
      <c r="AG163" s="264" t="s">
        <v>678</v>
      </c>
      <c r="AH163" s="264">
        <v>2</v>
      </c>
      <c r="AI163" s="264" t="s">
        <v>657</v>
      </c>
      <c r="AJ163" s="264">
        <v>3</v>
      </c>
      <c r="AK163" s="264" t="s">
        <v>657</v>
      </c>
      <c r="AL163" s="264"/>
      <c r="AM163" s="264"/>
      <c r="AN163" s="264">
        <v>1</v>
      </c>
      <c r="AO163" s="264" t="s">
        <v>889</v>
      </c>
      <c r="AP163" s="66">
        <v>43476</v>
      </c>
      <c r="AQ163" s="264"/>
      <c r="AR163" s="264"/>
      <c r="AS163" s="264">
        <v>1</v>
      </c>
      <c r="AT163" s="264" t="s">
        <v>743</v>
      </c>
      <c r="AU163" s="66">
        <v>43476</v>
      </c>
      <c r="AV163" s="264">
        <v>1</v>
      </c>
      <c r="AW163" s="264"/>
      <c r="AX163" s="264">
        <v>1</v>
      </c>
      <c r="AY163" s="264"/>
      <c r="AZ163" s="264" t="s">
        <v>714</v>
      </c>
      <c r="BA163" s="264"/>
      <c r="BB163" s="264" t="s">
        <v>650</v>
      </c>
      <c r="BC163" s="264"/>
      <c r="BD163" s="264">
        <v>1</v>
      </c>
      <c r="BE163" s="264" t="s">
        <v>889</v>
      </c>
      <c r="BF163" s="264" t="s">
        <v>714</v>
      </c>
      <c r="BG163" s="264"/>
      <c r="BH163" s="264" t="s">
        <v>650</v>
      </c>
      <c r="BI163" s="264"/>
      <c r="BJ163" s="264">
        <v>1</v>
      </c>
      <c r="BK163" s="264" t="s">
        <v>678</v>
      </c>
      <c r="BL163" s="264" t="s">
        <v>714</v>
      </c>
      <c r="BM163" s="264">
        <v>1</v>
      </c>
      <c r="BN163" s="264" t="s">
        <v>651</v>
      </c>
      <c r="BO163" s="264"/>
      <c r="BP163" s="264"/>
      <c r="BQ163" s="264"/>
      <c r="BR163" s="264">
        <v>1</v>
      </c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>
        <v>3</v>
      </c>
      <c r="CV163" s="264">
        <v>1</v>
      </c>
      <c r="CW163" s="264">
        <v>1</v>
      </c>
      <c r="CX163" s="264" t="s">
        <v>657</v>
      </c>
      <c r="CY163" s="264">
        <v>2</v>
      </c>
      <c r="CZ163" s="264"/>
      <c r="DA163" s="264"/>
      <c r="DB163" s="264"/>
      <c r="DC163" s="264"/>
      <c r="DD163" s="264"/>
      <c r="DE163" s="264"/>
      <c r="DF163" s="264">
        <v>1</v>
      </c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 t="s">
        <v>650</v>
      </c>
      <c r="DT163" s="264"/>
      <c r="DU163" s="264" t="s">
        <v>650</v>
      </c>
      <c r="DV163" s="264"/>
      <c r="DW163" s="264" t="s">
        <v>650</v>
      </c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 t="s">
        <v>649</v>
      </c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 t="s">
        <v>652</v>
      </c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 t="s">
        <v>37</v>
      </c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 t="s">
        <v>653</v>
      </c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 t="s">
        <v>654</v>
      </c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 t="s">
        <v>649</v>
      </c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 t="s">
        <v>655</v>
      </c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 t="s">
        <v>37</v>
      </c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>
        <v>7</v>
      </c>
      <c r="D165" s="264"/>
      <c r="E165" s="264">
        <v>7</v>
      </c>
      <c r="F165" s="264"/>
      <c r="G165" s="264">
        <v>7</v>
      </c>
      <c r="H165" s="264"/>
      <c r="I165" s="264">
        <v>7</v>
      </c>
      <c r="J165" s="264"/>
      <c r="K165" s="264">
        <v>2</v>
      </c>
      <c r="L165" s="264"/>
      <c r="M165" s="264"/>
      <c r="N165" s="264" t="s">
        <v>1006</v>
      </c>
      <c r="O165" s="264"/>
      <c r="P165" s="264"/>
      <c r="Q165" s="264">
        <v>4</v>
      </c>
      <c r="R165" s="264"/>
      <c r="S165" s="264"/>
      <c r="T165" s="264"/>
      <c r="U165" s="264" t="s">
        <v>651</v>
      </c>
      <c r="V165" s="264"/>
      <c r="W165" s="264"/>
      <c r="X165" s="264">
        <v>3</v>
      </c>
      <c r="Y165" s="264"/>
      <c r="Z165" s="264">
        <v>3</v>
      </c>
      <c r="AA165" s="264"/>
      <c r="AB165" s="264"/>
      <c r="AC165" s="264" t="s">
        <v>651</v>
      </c>
      <c r="AD165" s="264">
        <v>4</v>
      </c>
      <c r="AE165" s="264"/>
      <c r="AF165" s="264">
        <v>4</v>
      </c>
      <c r="AG165" s="264"/>
      <c r="AH165" s="264">
        <v>2</v>
      </c>
      <c r="AI165" s="264" t="s">
        <v>667</v>
      </c>
      <c r="AJ165" s="264">
        <v>2</v>
      </c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264"/>
      <c r="BA165" s="264">
        <v>4</v>
      </c>
      <c r="BB165" s="264"/>
      <c r="BC165" s="264" t="s">
        <v>744</v>
      </c>
      <c r="BD165" s="264">
        <v>1</v>
      </c>
      <c r="BE165" s="264"/>
      <c r="BF165" s="66">
        <v>43538</v>
      </c>
      <c r="BG165" s="264">
        <v>4</v>
      </c>
      <c r="BH165" s="264"/>
      <c r="BI165" s="264" t="s">
        <v>744</v>
      </c>
      <c r="BJ165" s="264"/>
      <c r="BK165" s="264"/>
      <c r="BL165" s="264"/>
      <c r="BM165" s="264"/>
      <c r="BN165" s="264"/>
      <c r="BO165" s="264"/>
      <c r="BP165" s="264"/>
      <c r="BQ165" s="264"/>
      <c r="BR165" s="264"/>
      <c r="BS165" s="264"/>
      <c r="BT165" s="264"/>
      <c r="BU165" s="264">
        <v>1</v>
      </c>
      <c r="BV165" s="264"/>
      <c r="BW165" s="264" t="s">
        <v>651</v>
      </c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>
        <v>3</v>
      </c>
      <c r="CV165" s="264">
        <v>2</v>
      </c>
      <c r="CW165" s="264">
        <v>2</v>
      </c>
      <c r="CX165" s="264" t="s">
        <v>657</v>
      </c>
      <c r="CY165" s="264"/>
      <c r="CZ165" s="264">
        <v>1</v>
      </c>
      <c r="DA165" s="264"/>
      <c r="DB165" s="264" t="s">
        <v>651</v>
      </c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>
        <v>1</v>
      </c>
      <c r="DS165" s="264"/>
      <c r="DT165" s="264">
        <v>1</v>
      </c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>
        <v>1</v>
      </c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>
        <v>5</v>
      </c>
      <c r="D166" s="264" t="s">
        <v>737</v>
      </c>
      <c r="E166" s="264">
        <v>4</v>
      </c>
      <c r="F166" s="264" t="s">
        <v>904</v>
      </c>
      <c r="G166" s="264">
        <v>5</v>
      </c>
      <c r="H166" s="264" t="s">
        <v>737</v>
      </c>
      <c r="I166" s="264">
        <v>4</v>
      </c>
      <c r="J166" s="264" t="s">
        <v>904</v>
      </c>
      <c r="K166" s="264">
        <v>1</v>
      </c>
      <c r="L166" s="264" t="s">
        <v>678</v>
      </c>
      <c r="M166" s="264"/>
      <c r="N166" s="264" t="s">
        <v>693</v>
      </c>
      <c r="O166" s="264"/>
      <c r="P166" s="264"/>
      <c r="Q166" s="264"/>
      <c r="R166" s="264" t="s">
        <v>650</v>
      </c>
      <c r="S166" s="264">
        <v>1</v>
      </c>
      <c r="T166" s="264" t="s">
        <v>651</v>
      </c>
      <c r="U166" s="264"/>
      <c r="V166" s="264"/>
      <c r="W166" s="264"/>
      <c r="X166" s="264">
        <v>3</v>
      </c>
      <c r="Y166" s="264"/>
      <c r="Z166" s="264">
        <v>4</v>
      </c>
      <c r="AA166" s="264" t="s">
        <v>714</v>
      </c>
      <c r="AB166" s="264"/>
      <c r="AC166" s="264" t="s">
        <v>651</v>
      </c>
      <c r="AD166" s="264">
        <v>2</v>
      </c>
      <c r="AE166" s="264" t="s">
        <v>678</v>
      </c>
      <c r="AF166" s="264"/>
      <c r="AG166" s="264" t="s">
        <v>650</v>
      </c>
      <c r="AH166" s="264">
        <v>1</v>
      </c>
      <c r="AI166" s="264"/>
      <c r="AJ166" s="264">
        <v>1</v>
      </c>
      <c r="AK166" s="264" t="s">
        <v>678</v>
      </c>
      <c r="AL166" s="264"/>
      <c r="AM166" s="264"/>
      <c r="AN166" s="264">
        <v>1</v>
      </c>
      <c r="AO166" s="264" t="s">
        <v>651</v>
      </c>
      <c r="AP166" s="264" t="s">
        <v>690</v>
      </c>
      <c r="AQ166" s="264"/>
      <c r="AR166" s="264"/>
      <c r="AS166" s="264">
        <v>1</v>
      </c>
      <c r="AT166" s="264" t="s">
        <v>651</v>
      </c>
      <c r="AU166" s="264" t="s">
        <v>690</v>
      </c>
      <c r="AV166" s="264"/>
      <c r="AW166" s="264"/>
      <c r="AX166" s="264">
        <v>1</v>
      </c>
      <c r="AY166" s="264" t="s">
        <v>651</v>
      </c>
      <c r="AZ166" s="264" t="s">
        <v>688</v>
      </c>
      <c r="BA166" s="264">
        <v>1</v>
      </c>
      <c r="BB166" s="264" t="s">
        <v>728</v>
      </c>
      <c r="BC166" s="264" t="s">
        <v>688</v>
      </c>
      <c r="BD166" s="264">
        <v>1</v>
      </c>
      <c r="BE166" s="264"/>
      <c r="BF166" s="264" t="s">
        <v>688</v>
      </c>
      <c r="BG166" s="264"/>
      <c r="BH166" s="264" t="s">
        <v>650</v>
      </c>
      <c r="BI166" s="264"/>
      <c r="BJ166" s="264"/>
      <c r="BK166" s="264"/>
      <c r="BL166" s="264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>
        <v>2</v>
      </c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 t="s">
        <v>650</v>
      </c>
      <c r="DT166" s="264"/>
      <c r="DU166" s="264" t="s">
        <v>650</v>
      </c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 t="s">
        <v>649</v>
      </c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 t="s">
        <v>652</v>
      </c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 t="s">
        <v>37</v>
      </c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 t="s">
        <v>653</v>
      </c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 t="s">
        <v>654</v>
      </c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 t="s">
        <v>649</v>
      </c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 t="s">
        <v>655</v>
      </c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 t="s">
        <v>37</v>
      </c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>
        <v>12</v>
      </c>
      <c r="D168" s="264"/>
      <c r="E168" s="264">
        <v>14</v>
      </c>
      <c r="F168" s="264"/>
      <c r="G168" s="264">
        <v>12</v>
      </c>
      <c r="H168" s="264"/>
      <c r="I168" s="264">
        <v>14</v>
      </c>
      <c r="J168" s="264"/>
      <c r="K168" s="264">
        <v>3</v>
      </c>
      <c r="L168" s="264"/>
      <c r="M168" s="264"/>
      <c r="N168" s="264" t="s">
        <v>759</v>
      </c>
      <c r="O168" s="264">
        <v>2</v>
      </c>
      <c r="P168" s="264"/>
      <c r="Q168" s="264">
        <v>2</v>
      </c>
      <c r="R168" s="264"/>
      <c r="S168" s="264">
        <v>2</v>
      </c>
      <c r="T168" s="264"/>
      <c r="U168" s="264" t="s">
        <v>657</v>
      </c>
      <c r="V168" s="264"/>
      <c r="W168" s="264"/>
      <c r="X168" s="264">
        <v>9</v>
      </c>
      <c r="Y168" s="264"/>
      <c r="Z168" s="264">
        <v>10</v>
      </c>
      <c r="AA168" s="264"/>
      <c r="AB168" s="264">
        <v>1</v>
      </c>
      <c r="AC168" s="264" t="s">
        <v>850</v>
      </c>
      <c r="AD168" s="264">
        <v>3</v>
      </c>
      <c r="AE168" s="264"/>
      <c r="AF168" s="264">
        <v>4</v>
      </c>
      <c r="AG168" s="264"/>
      <c r="AH168" s="264">
        <v>2</v>
      </c>
      <c r="AI168" s="264" t="s">
        <v>667</v>
      </c>
      <c r="AJ168" s="264">
        <v>5</v>
      </c>
      <c r="AK168" s="264"/>
      <c r="AL168" s="264"/>
      <c r="AM168" s="264"/>
      <c r="AN168" s="264"/>
      <c r="AO168" s="264"/>
      <c r="AP168" s="264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264"/>
      <c r="BA168" s="264">
        <v>13</v>
      </c>
      <c r="BB168" s="264"/>
      <c r="BC168" s="264" t="s">
        <v>679</v>
      </c>
      <c r="BD168" s="264">
        <v>7</v>
      </c>
      <c r="BE168" s="264"/>
      <c r="BF168" s="264" t="s">
        <v>657</v>
      </c>
      <c r="BG168" s="264">
        <v>11</v>
      </c>
      <c r="BH168" s="264"/>
      <c r="BI168" s="264" t="s">
        <v>1038</v>
      </c>
      <c r="BJ168" s="264"/>
      <c r="BK168" s="264"/>
      <c r="BL168" s="264"/>
      <c r="BM168" s="264"/>
      <c r="BN168" s="264"/>
      <c r="BO168" s="264"/>
      <c r="BP168" s="264"/>
      <c r="BQ168" s="264">
        <v>1</v>
      </c>
      <c r="BR168" s="264"/>
      <c r="BS168" s="264" t="s">
        <v>651</v>
      </c>
      <c r="BT168" s="264"/>
      <c r="BU168" s="264"/>
      <c r="BV168" s="264"/>
      <c r="BW168" s="264"/>
      <c r="BX168" s="264">
        <v>1</v>
      </c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>
        <v>4</v>
      </c>
      <c r="CV168" s="264">
        <v>6</v>
      </c>
      <c r="CW168" s="264">
        <v>2</v>
      </c>
      <c r="CX168" s="264" t="s">
        <v>734</v>
      </c>
      <c r="CY168" s="264">
        <v>1</v>
      </c>
      <c r="CZ168" s="264">
        <v>1</v>
      </c>
      <c r="DA168" s="264">
        <v>1</v>
      </c>
      <c r="DB168" s="264" t="s">
        <v>657</v>
      </c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>
        <v>20</v>
      </c>
      <c r="D169" s="264" t="s">
        <v>667</v>
      </c>
      <c r="E169" s="264">
        <v>7</v>
      </c>
      <c r="F169" s="264" t="s">
        <v>678</v>
      </c>
      <c r="G169" s="264">
        <v>20</v>
      </c>
      <c r="H169" s="264" t="s">
        <v>667</v>
      </c>
      <c r="I169" s="264">
        <v>7</v>
      </c>
      <c r="J169" s="264" t="s">
        <v>678</v>
      </c>
      <c r="K169" s="264">
        <v>2</v>
      </c>
      <c r="L169" s="264" t="s">
        <v>677</v>
      </c>
      <c r="M169" s="264"/>
      <c r="N169" s="264" t="s">
        <v>1006</v>
      </c>
      <c r="O169" s="264">
        <v>6</v>
      </c>
      <c r="P169" s="264" t="s">
        <v>697</v>
      </c>
      <c r="Q169" s="264">
        <v>2</v>
      </c>
      <c r="R169" s="264"/>
      <c r="S169" s="264"/>
      <c r="T169" s="264" t="s">
        <v>650</v>
      </c>
      <c r="U169" s="264" t="s">
        <v>651</v>
      </c>
      <c r="V169" s="264"/>
      <c r="W169" s="264"/>
      <c r="X169" s="264">
        <v>10</v>
      </c>
      <c r="Y169" s="66">
        <v>43476</v>
      </c>
      <c r="Z169" s="264">
        <v>4</v>
      </c>
      <c r="AA169" s="264" t="s">
        <v>723</v>
      </c>
      <c r="AB169" s="264">
        <v>2</v>
      </c>
      <c r="AC169" s="264" t="s">
        <v>667</v>
      </c>
      <c r="AD169" s="264">
        <v>10</v>
      </c>
      <c r="AE169" s="264" t="s">
        <v>1367</v>
      </c>
      <c r="AF169" s="264">
        <v>3</v>
      </c>
      <c r="AG169" s="264" t="s">
        <v>672</v>
      </c>
      <c r="AH169" s="264"/>
      <c r="AI169" s="264" t="s">
        <v>651</v>
      </c>
      <c r="AJ169" s="264">
        <v>2</v>
      </c>
      <c r="AK169" s="264" t="s">
        <v>723</v>
      </c>
      <c r="AL169" s="264"/>
      <c r="AM169" s="264"/>
      <c r="AN169" s="264">
        <v>3</v>
      </c>
      <c r="AO169" s="264" t="s">
        <v>651</v>
      </c>
      <c r="AP169" s="264" t="s">
        <v>949</v>
      </c>
      <c r="AQ169" s="264">
        <v>1</v>
      </c>
      <c r="AR169" s="264" t="s">
        <v>651</v>
      </c>
      <c r="AS169" s="264">
        <v>2</v>
      </c>
      <c r="AT169" s="264" t="s">
        <v>651</v>
      </c>
      <c r="AU169" s="264" t="s">
        <v>704</v>
      </c>
      <c r="AV169" s="264">
        <v>2</v>
      </c>
      <c r="AW169" s="264" t="s">
        <v>651</v>
      </c>
      <c r="AX169" s="264"/>
      <c r="AY169" s="264"/>
      <c r="AZ169" s="264"/>
      <c r="BA169" s="264">
        <v>7</v>
      </c>
      <c r="BB169" s="264" t="s">
        <v>846</v>
      </c>
      <c r="BC169" s="264" t="s">
        <v>651</v>
      </c>
      <c r="BD169" s="264">
        <v>4</v>
      </c>
      <c r="BE169" s="264" t="s">
        <v>904</v>
      </c>
      <c r="BF169" s="264" t="s">
        <v>744</v>
      </c>
      <c r="BG169" s="264">
        <v>7</v>
      </c>
      <c r="BH169" s="264" t="s">
        <v>724</v>
      </c>
      <c r="BI169" s="264" t="s">
        <v>651</v>
      </c>
      <c r="BJ169" s="264"/>
      <c r="BK169" s="264"/>
      <c r="BL169" s="264"/>
      <c r="BM169" s="264"/>
      <c r="BN169" s="264"/>
      <c r="BO169" s="264"/>
      <c r="BP169" s="264"/>
      <c r="BQ169" s="264">
        <v>1</v>
      </c>
      <c r="BR169" s="264"/>
      <c r="BS169" s="264" t="s">
        <v>651</v>
      </c>
      <c r="BT169" s="264"/>
      <c r="BU169" s="264"/>
      <c r="BV169" s="264"/>
      <c r="BW169" s="264"/>
      <c r="BX169" s="264">
        <v>1</v>
      </c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>
        <v>5</v>
      </c>
      <c r="CV169" s="264">
        <v>2</v>
      </c>
      <c r="CW169" s="264">
        <v>1</v>
      </c>
      <c r="CX169" s="264" t="s">
        <v>667</v>
      </c>
      <c r="CY169" s="264">
        <v>1</v>
      </c>
      <c r="CZ169" s="264"/>
      <c r="DA169" s="264"/>
      <c r="DB169" s="264"/>
      <c r="DC169" s="264"/>
      <c r="DD169" s="264"/>
      <c r="DE169" s="264"/>
      <c r="DF169" s="264">
        <v>2</v>
      </c>
      <c r="DG169" s="264"/>
      <c r="DH169" s="264"/>
      <c r="DI169" s="264"/>
      <c r="DJ169" s="264"/>
      <c r="DK169" s="264"/>
      <c r="DL169" s="264"/>
      <c r="DM169" s="264"/>
      <c r="DN169" s="264">
        <v>1</v>
      </c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 t="s">
        <v>649</v>
      </c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 t="s">
        <v>652</v>
      </c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 t="s">
        <v>37</v>
      </c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 t="s">
        <v>653</v>
      </c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 t="s">
        <v>654</v>
      </c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 t="s">
        <v>649</v>
      </c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 t="s">
        <v>655</v>
      </c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 t="s">
        <v>37</v>
      </c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>
        <v>27</v>
      </c>
      <c r="D171" s="264"/>
      <c r="E171" s="264">
        <v>19</v>
      </c>
      <c r="F171" s="264"/>
      <c r="G171" s="264">
        <v>27</v>
      </c>
      <c r="H171" s="264"/>
      <c r="I171" s="264">
        <v>19</v>
      </c>
      <c r="J171" s="264"/>
      <c r="K171" s="264">
        <v>5</v>
      </c>
      <c r="L171" s="264"/>
      <c r="M171" s="264"/>
      <c r="N171" s="264" t="s">
        <v>1080</v>
      </c>
      <c r="O171" s="264">
        <v>6</v>
      </c>
      <c r="P171" s="264"/>
      <c r="Q171" s="264">
        <v>4</v>
      </c>
      <c r="R171" s="264"/>
      <c r="S171" s="264">
        <v>3</v>
      </c>
      <c r="T171" s="264"/>
      <c r="U171" s="264" t="s">
        <v>744</v>
      </c>
      <c r="V171" s="264">
        <v>1</v>
      </c>
      <c r="W171" s="264" t="s">
        <v>859</v>
      </c>
      <c r="X171" s="264">
        <v>12</v>
      </c>
      <c r="Y171" s="264"/>
      <c r="Z171" s="264">
        <v>12</v>
      </c>
      <c r="AA171" s="264"/>
      <c r="AB171" s="264">
        <v>2</v>
      </c>
      <c r="AC171" s="264" t="s">
        <v>660</v>
      </c>
      <c r="AD171" s="264">
        <v>15</v>
      </c>
      <c r="AE171" s="264"/>
      <c r="AF171" s="264">
        <v>7</v>
      </c>
      <c r="AG171" s="264"/>
      <c r="AH171" s="264">
        <v>3</v>
      </c>
      <c r="AI171" s="264" t="s">
        <v>751</v>
      </c>
      <c r="AJ171" s="264">
        <v>7</v>
      </c>
      <c r="AK171" s="264"/>
      <c r="AL171" s="264"/>
      <c r="AM171" s="264"/>
      <c r="AN171" s="264">
        <v>8</v>
      </c>
      <c r="AO171" s="264"/>
      <c r="AP171" s="66">
        <v>43645</v>
      </c>
      <c r="AQ171" s="264">
        <v>2</v>
      </c>
      <c r="AR171" s="264"/>
      <c r="AS171" s="264">
        <v>2</v>
      </c>
      <c r="AT171" s="264"/>
      <c r="AU171" s="66">
        <v>43562</v>
      </c>
      <c r="AV171" s="264">
        <v>6</v>
      </c>
      <c r="AW171" s="264"/>
      <c r="AX171" s="264"/>
      <c r="AY171" s="264"/>
      <c r="AZ171" s="264"/>
      <c r="BA171" s="264">
        <v>9</v>
      </c>
      <c r="BB171" s="264"/>
      <c r="BC171" s="264" t="s">
        <v>822</v>
      </c>
      <c r="BD171" s="264">
        <v>11</v>
      </c>
      <c r="BE171" s="264"/>
      <c r="BF171" s="264" t="s">
        <v>681</v>
      </c>
      <c r="BG171" s="264">
        <v>14</v>
      </c>
      <c r="BH171" s="264"/>
      <c r="BI171" s="264" t="s">
        <v>867</v>
      </c>
      <c r="BJ171" s="264"/>
      <c r="BK171" s="264"/>
      <c r="BL171" s="264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>
        <v>1</v>
      </c>
      <c r="BZ171" s="264"/>
      <c r="CA171" s="264" t="s">
        <v>651</v>
      </c>
      <c r="CB171" s="264"/>
      <c r="CC171" s="264"/>
      <c r="CD171" s="264"/>
      <c r="CE171" s="264"/>
      <c r="CF171" s="264"/>
      <c r="CG171" s="264"/>
      <c r="CH171" s="264"/>
      <c r="CI171" s="264"/>
      <c r="CJ171" s="264">
        <v>3</v>
      </c>
      <c r="CK171" s="264">
        <v>1</v>
      </c>
      <c r="CL171" s="264"/>
      <c r="CM171" s="264" t="s">
        <v>651</v>
      </c>
      <c r="CN171" s="264"/>
      <c r="CO171" s="264"/>
      <c r="CP171" s="264"/>
      <c r="CQ171" s="264">
        <v>1</v>
      </c>
      <c r="CR171" s="264"/>
      <c r="CS171" s="264"/>
      <c r="CT171" s="264"/>
      <c r="CU171" s="264">
        <v>7</v>
      </c>
      <c r="CV171" s="264">
        <v>4</v>
      </c>
      <c r="CW171" s="264">
        <v>1</v>
      </c>
      <c r="CX171" s="264" t="s">
        <v>693</v>
      </c>
      <c r="CY171" s="264"/>
      <c r="CZ171" s="264"/>
      <c r="DA171" s="264">
        <v>1</v>
      </c>
      <c r="DB171" s="264"/>
      <c r="DC171" s="264"/>
      <c r="DD171" s="264">
        <v>1</v>
      </c>
      <c r="DE171" s="264"/>
      <c r="DF171" s="264">
        <v>2</v>
      </c>
      <c r="DG171" s="264">
        <v>1</v>
      </c>
      <c r="DH171" s="264">
        <v>1</v>
      </c>
      <c r="DI171" s="264" t="s">
        <v>657</v>
      </c>
      <c r="DJ171" s="264"/>
      <c r="DK171" s="264"/>
      <c r="DL171" s="264"/>
      <c r="DM171" s="264"/>
      <c r="DN171" s="264"/>
      <c r="DO171" s="264"/>
      <c r="DP171" s="264"/>
      <c r="DQ171" s="264"/>
      <c r="DR171" s="264">
        <v>1</v>
      </c>
      <c r="DS171" s="264"/>
      <c r="DT171" s="264">
        <v>1</v>
      </c>
      <c r="DU171" s="264"/>
      <c r="DV171" s="264"/>
      <c r="DW171" s="264"/>
      <c r="DX171" s="264">
        <v>1</v>
      </c>
      <c r="DY171" s="264"/>
      <c r="DZ171" s="264">
        <v>1</v>
      </c>
      <c r="EA171" s="264"/>
      <c r="EB171" s="264">
        <v>1</v>
      </c>
      <c r="EC171" s="264"/>
      <c r="ED171" s="264" t="s">
        <v>909</v>
      </c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>
        <v>20</v>
      </c>
      <c r="D172" s="264" t="s">
        <v>682</v>
      </c>
      <c r="E172" s="264">
        <v>11</v>
      </c>
      <c r="F172" s="264" t="s">
        <v>740</v>
      </c>
      <c r="G172" s="264">
        <v>20</v>
      </c>
      <c r="H172" s="264" t="s">
        <v>682</v>
      </c>
      <c r="I172" s="264">
        <v>11</v>
      </c>
      <c r="J172" s="264" t="s">
        <v>740</v>
      </c>
      <c r="K172" s="264">
        <v>2</v>
      </c>
      <c r="L172" s="264" t="s">
        <v>723</v>
      </c>
      <c r="M172" s="264"/>
      <c r="N172" s="264" t="s">
        <v>814</v>
      </c>
      <c r="O172" s="264">
        <v>7</v>
      </c>
      <c r="P172" s="66">
        <v>43662</v>
      </c>
      <c r="Q172" s="264">
        <v>7</v>
      </c>
      <c r="R172" s="264" t="s">
        <v>734</v>
      </c>
      <c r="S172" s="264"/>
      <c r="T172" s="264" t="s">
        <v>650</v>
      </c>
      <c r="U172" s="264" t="s">
        <v>651</v>
      </c>
      <c r="V172" s="264"/>
      <c r="W172" s="264"/>
      <c r="X172" s="264">
        <v>8</v>
      </c>
      <c r="Y172" s="264" t="s">
        <v>677</v>
      </c>
      <c r="Z172" s="264">
        <v>3</v>
      </c>
      <c r="AA172" s="264" t="s">
        <v>728</v>
      </c>
      <c r="AB172" s="264">
        <v>1</v>
      </c>
      <c r="AC172" s="264" t="s">
        <v>734</v>
      </c>
      <c r="AD172" s="264">
        <v>12</v>
      </c>
      <c r="AE172" s="264" t="s">
        <v>669</v>
      </c>
      <c r="AF172" s="264">
        <v>8</v>
      </c>
      <c r="AG172" s="66">
        <v>43538</v>
      </c>
      <c r="AH172" s="264">
        <v>1</v>
      </c>
      <c r="AI172" s="264" t="s">
        <v>675</v>
      </c>
      <c r="AJ172" s="264">
        <v>4</v>
      </c>
      <c r="AK172" s="264" t="s">
        <v>904</v>
      </c>
      <c r="AL172" s="264"/>
      <c r="AM172" s="264"/>
      <c r="AN172" s="264">
        <v>6</v>
      </c>
      <c r="AO172" s="264" t="s">
        <v>672</v>
      </c>
      <c r="AP172" s="264" t="s">
        <v>701</v>
      </c>
      <c r="AQ172" s="264">
        <v>4</v>
      </c>
      <c r="AR172" s="264" t="s">
        <v>651</v>
      </c>
      <c r="AS172" s="264">
        <v>1</v>
      </c>
      <c r="AT172" s="264" t="s">
        <v>678</v>
      </c>
      <c r="AU172" s="264" t="s">
        <v>685</v>
      </c>
      <c r="AV172" s="264">
        <v>4</v>
      </c>
      <c r="AW172" s="264" t="s">
        <v>677</v>
      </c>
      <c r="AX172" s="264"/>
      <c r="AY172" s="264"/>
      <c r="AZ172" s="264"/>
      <c r="BA172" s="264">
        <v>5</v>
      </c>
      <c r="BB172" s="264" t="s">
        <v>754</v>
      </c>
      <c r="BC172" s="264" t="s">
        <v>801</v>
      </c>
      <c r="BD172" s="264">
        <v>4</v>
      </c>
      <c r="BE172" s="264" t="s">
        <v>1363</v>
      </c>
      <c r="BF172" s="264" t="s">
        <v>717</v>
      </c>
      <c r="BG172" s="264">
        <v>7</v>
      </c>
      <c r="BH172" s="264" t="s">
        <v>678</v>
      </c>
      <c r="BI172" s="264" t="s">
        <v>824</v>
      </c>
      <c r="BJ172" s="264">
        <v>1</v>
      </c>
      <c r="BK172" s="264" t="s">
        <v>651</v>
      </c>
      <c r="BL172" s="66">
        <v>43474</v>
      </c>
      <c r="BM172" s="264"/>
      <c r="BN172" s="264"/>
      <c r="BO172" s="264"/>
      <c r="BP172" s="264"/>
      <c r="BQ172" s="264">
        <v>1</v>
      </c>
      <c r="BR172" s="264"/>
      <c r="BS172" s="264" t="s">
        <v>651</v>
      </c>
      <c r="BT172" s="264"/>
      <c r="BU172" s="264"/>
      <c r="BV172" s="264"/>
      <c r="BW172" s="264"/>
      <c r="BX172" s="264"/>
      <c r="BY172" s="264">
        <v>2</v>
      </c>
      <c r="BZ172" s="264"/>
      <c r="CA172" s="264" t="s">
        <v>651</v>
      </c>
      <c r="CB172" s="264"/>
      <c r="CC172" s="264">
        <v>1</v>
      </c>
      <c r="CD172" s="264"/>
      <c r="CE172" s="264" t="s">
        <v>651</v>
      </c>
      <c r="CF172" s="264"/>
      <c r="CG172" s="264"/>
      <c r="CH172" s="264"/>
      <c r="CI172" s="264"/>
      <c r="CJ172" s="264">
        <v>1</v>
      </c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>
        <v>5</v>
      </c>
      <c r="CV172" s="264">
        <v>1</v>
      </c>
      <c r="CW172" s="264">
        <v>1</v>
      </c>
      <c r="CX172" s="264" t="s">
        <v>657</v>
      </c>
      <c r="CY172" s="264">
        <v>1</v>
      </c>
      <c r="CZ172" s="264"/>
      <c r="DA172" s="264"/>
      <c r="DB172" s="264"/>
      <c r="DC172" s="264"/>
      <c r="DD172" s="264"/>
      <c r="DE172" s="264"/>
      <c r="DF172" s="264">
        <v>1</v>
      </c>
      <c r="DG172" s="264">
        <v>1</v>
      </c>
      <c r="DH172" s="264">
        <v>1</v>
      </c>
      <c r="DI172" s="264" t="s">
        <v>657</v>
      </c>
      <c r="DJ172" s="264"/>
      <c r="DK172" s="264"/>
      <c r="DL172" s="264"/>
      <c r="DM172" s="264"/>
      <c r="DN172" s="264">
        <v>1</v>
      </c>
      <c r="DO172" s="264">
        <v>1</v>
      </c>
      <c r="DP172" s="264"/>
      <c r="DQ172" s="264" t="s">
        <v>651</v>
      </c>
      <c r="DR172" s="264">
        <v>2</v>
      </c>
      <c r="DS172" s="264" t="s">
        <v>651</v>
      </c>
      <c r="DT172" s="264">
        <v>1</v>
      </c>
      <c r="DU172" s="264"/>
      <c r="DV172" s="264">
        <v>1</v>
      </c>
      <c r="DW172" s="264" t="s">
        <v>651</v>
      </c>
      <c r="DX172" s="264">
        <v>2</v>
      </c>
      <c r="DY172" s="264" t="s">
        <v>651</v>
      </c>
      <c r="DZ172" s="264">
        <v>2</v>
      </c>
      <c r="EA172" s="264" t="s">
        <v>651</v>
      </c>
      <c r="EB172" s="264">
        <v>2</v>
      </c>
      <c r="EC172" s="264" t="s">
        <v>651</v>
      </c>
      <c r="ED172" s="66">
        <v>43671</v>
      </c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>
        <v>1</v>
      </c>
      <c r="EO172" s="264">
        <v>1</v>
      </c>
      <c r="EP172" s="264"/>
      <c r="EQ172" s="264">
        <v>1</v>
      </c>
      <c r="ER172" s="264"/>
      <c r="ES172" s="264"/>
      <c r="ET172" s="264"/>
      <c r="EU172" s="264"/>
    </row>
    <row r="173" spans="1:151">
      <c r="A173" s="160"/>
      <c r="B173" s="1" t="s">
        <v>1</v>
      </c>
      <c r="C173" s="264" t="s">
        <v>649</v>
      </c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 t="s">
        <v>652</v>
      </c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 t="s">
        <v>37</v>
      </c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 t="s">
        <v>653</v>
      </c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 t="s">
        <v>654</v>
      </c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 t="s">
        <v>649</v>
      </c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 t="s">
        <v>655</v>
      </c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 t="s">
        <v>37</v>
      </c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>
        <v>87</v>
      </c>
      <c r="D174" s="264"/>
      <c r="E174" s="264">
        <v>57</v>
      </c>
      <c r="F174" s="264"/>
      <c r="G174" s="264">
        <v>87</v>
      </c>
      <c r="H174" s="264"/>
      <c r="I174" s="264">
        <v>57</v>
      </c>
      <c r="J174" s="264"/>
      <c r="K174" s="264">
        <v>27</v>
      </c>
      <c r="L174" s="264"/>
      <c r="M174" s="264"/>
      <c r="N174" s="264" t="s">
        <v>718</v>
      </c>
      <c r="O174" s="264">
        <v>18</v>
      </c>
      <c r="P174" s="264"/>
      <c r="Q174" s="264">
        <v>6</v>
      </c>
      <c r="R174" s="264"/>
      <c r="S174" s="264">
        <v>2</v>
      </c>
      <c r="T174" s="264"/>
      <c r="U174" s="264" t="s">
        <v>734</v>
      </c>
      <c r="V174" s="264"/>
      <c r="W174" s="264"/>
      <c r="X174" s="264">
        <v>46</v>
      </c>
      <c r="Y174" s="264"/>
      <c r="Z174" s="264">
        <v>36</v>
      </c>
      <c r="AA174" s="264"/>
      <c r="AB174" s="264">
        <v>10</v>
      </c>
      <c r="AC174" s="264" t="s">
        <v>1008</v>
      </c>
      <c r="AD174" s="264">
        <v>41</v>
      </c>
      <c r="AE174" s="264"/>
      <c r="AF174" s="264">
        <v>21</v>
      </c>
      <c r="AG174" s="264"/>
      <c r="AH174" s="264">
        <v>17</v>
      </c>
      <c r="AI174" s="264" t="s">
        <v>978</v>
      </c>
      <c r="AJ174" s="264">
        <v>7</v>
      </c>
      <c r="AK174" s="264"/>
      <c r="AL174" s="264"/>
      <c r="AM174" s="264"/>
      <c r="AN174" s="264">
        <v>25</v>
      </c>
      <c r="AO174" s="264"/>
      <c r="AP174" s="66">
        <v>43674</v>
      </c>
      <c r="AQ174" s="264">
        <v>4</v>
      </c>
      <c r="AR174" s="264"/>
      <c r="AS174" s="264">
        <v>19</v>
      </c>
      <c r="AT174" s="264"/>
      <c r="AU174" s="66">
        <v>43698</v>
      </c>
      <c r="AV174" s="264">
        <v>8</v>
      </c>
      <c r="AW174" s="264"/>
      <c r="AX174" s="264">
        <v>1</v>
      </c>
      <c r="AY174" s="264"/>
      <c r="AZ174" s="66">
        <v>43678</v>
      </c>
      <c r="BA174" s="264">
        <v>42</v>
      </c>
      <c r="BB174" s="264"/>
      <c r="BC174" s="264" t="s">
        <v>867</v>
      </c>
      <c r="BD174" s="264">
        <v>33</v>
      </c>
      <c r="BE174" s="264"/>
      <c r="BF174" s="264" t="s">
        <v>681</v>
      </c>
      <c r="BG174" s="264">
        <v>48</v>
      </c>
      <c r="BH174" s="264"/>
      <c r="BI174" s="264" t="s">
        <v>1085</v>
      </c>
      <c r="BJ174" s="264">
        <v>2</v>
      </c>
      <c r="BK174" s="264"/>
      <c r="BL174" s="66">
        <v>43588</v>
      </c>
      <c r="BM174" s="264">
        <v>2</v>
      </c>
      <c r="BN174" s="264" t="s">
        <v>651</v>
      </c>
      <c r="BO174" s="264"/>
      <c r="BP174" s="264">
        <v>2</v>
      </c>
      <c r="BQ174" s="264">
        <v>1</v>
      </c>
      <c r="BR174" s="264"/>
      <c r="BS174" s="264" t="s">
        <v>651</v>
      </c>
      <c r="BT174" s="264"/>
      <c r="BU174" s="264"/>
      <c r="BV174" s="264"/>
      <c r="BW174" s="264"/>
      <c r="BX174" s="264">
        <v>4</v>
      </c>
      <c r="BY174" s="264">
        <v>1</v>
      </c>
      <c r="BZ174" s="264"/>
      <c r="CA174" s="264" t="s">
        <v>651</v>
      </c>
      <c r="CB174" s="264">
        <v>1</v>
      </c>
      <c r="CC174" s="264"/>
      <c r="CD174" s="264"/>
      <c r="CE174" s="264"/>
      <c r="CF174" s="264">
        <v>1</v>
      </c>
      <c r="CG174" s="264">
        <v>1</v>
      </c>
      <c r="CH174" s="264"/>
      <c r="CI174" s="264" t="s">
        <v>651</v>
      </c>
      <c r="CJ174" s="264">
        <v>2</v>
      </c>
      <c r="CK174" s="264">
        <v>1</v>
      </c>
      <c r="CL174" s="264">
        <v>1</v>
      </c>
      <c r="CM174" s="264" t="s">
        <v>657</v>
      </c>
      <c r="CN174" s="264"/>
      <c r="CO174" s="264"/>
      <c r="CP174" s="264"/>
      <c r="CQ174" s="264"/>
      <c r="CR174" s="264"/>
      <c r="CS174" s="264"/>
      <c r="CT174" s="264"/>
      <c r="CU174" s="264">
        <v>26</v>
      </c>
      <c r="CV174" s="264">
        <v>19</v>
      </c>
      <c r="CW174" s="264">
        <v>19</v>
      </c>
      <c r="CX174" s="264" t="s">
        <v>657</v>
      </c>
      <c r="CY174" s="264"/>
      <c r="CZ174" s="264"/>
      <c r="DA174" s="264">
        <v>1</v>
      </c>
      <c r="DB174" s="264"/>
      <c r="DC174" s="264"/>
      <c r="DD174" s="264"/>
      <c r="DE174" s="264"/>
      <c r="DF174" s="264">
        <v>4</v>
      </c>
      <c r="DG174" s="264"/>
      <c r="DH174" s="264">
        <v>4</v>
      </c>
      <c r="DI174" s="264"/>
      <c r="DJ174" s="264"/>
      <c r="DK174" s="264"/>
      <c r="DL174" s="264"/>
      <c r="DM174" s="264"/>
      <c r="DN174" s="264">
        <v>2</v>
      </c>
      <c r="DO174" s="264">
        <v>4</v>
      </c>
      <c r="DP174" s="264"/>
      <c r="DQ174" s="264" t="s">
        <v>651</v>
      </c>
      <c r="DR174" s="264">
        <v>3</v>
      </c>
      <c r="DS174" s="264"/>
      <c r="DT174" s="264">
        <v>3</v>
      </c>
      <c r="DU174" s="264"/>
      <c r="DV174" s="264">
        <v>2</v>
      </c>
      <c r="DW174" s="264"/>
      <c r="DX174" s="264">
        <v>1</v>
      </c>
      <c r="DY174" s="264"/>
      <c r="DZ174" s="264">
        <v>1</v>
      </c>
      <c r="EA174" s="264"/>
      <c r="EB174" s="264"/>
      <c r="EC174" s="264"/>
      <c r="ED174" s="264"/>
      <c r="EE174" s="264">
        <v>2</v>
      </c>
      <c r="EF174" s="264"/>
      <c r="EG174" s="264"/>
      <c r="EH174" s="264"/>
      <c r="EI174" s="264">
        <v>1</v>
      </c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>
        <v>86</v>
      </c>
      <c r="D175" s="264" t="s">
        <v>1122</v>
      </c>
      <c r="E175" s="264">
        <v>74</v>
      </c>
      <c r="F175" s="66">
        <v>43706</v>
      </c>
      <c r="G175" s="264">
        <v>86</v>
      </c>
      <c r="H175" s="264" t="s">
        <v>1122</v>
      </c>
      <c r="I175" s="264">
        <v>74</v>
      </c>
      <c r="J175" s="66">
        <v>43706</v>
      </c>
      <c r="K175" s="264">
        <v>23</v>
      </c>
      <c r="L175" s="264" t="s">
        <v>770</v>
      </c>
      <c r="M175" s="264"/>
      <c r="N175" s="264" t="s">
        <v>1108</v>
      </c>
      <c r="O175" s="264">
        <v>21</v>
      </c>
      <c r="P175" s="66">
        <v>43662</v>
      </c>
      <c r="Q175" s="264">
        <v>19</v>
      </c>
      <c r="R175" s="264" t="s">
        <v>1446</v>
      </c>
      <c r="S175" s="264">
        <v>7</v>
      </c>
      <c r="T175" s="264" t="s">
        <v>747</v>
      </c>
      <c r="U175" s="264" t="s">
        <v>705</v>
      </c>
      <c r="V175" s="264"/>
      <c r="W175" s="264"/>
      <c r="X175" s="264">
        <v>38</v>
      </c>
      <c r="Y175" s="264" t="s">
        <v>663</v>
      </c>
      <c r="Z175" s="264">
        <v>35</v>
      </c>
      <c r="AA175" s="264" t="s">
        <v>1375</v>
      </c>
      <c r="AB175" s="264">
        <v>10</v>
      </c>
      <c r="AC175" s="264" t="s">
        <v>1006</v>
      </c>
      <c r="AD175" s="264">
        <v>48</v>
      </c>
      <c r="AE175" s="66">
        <v>43482</v>
      </c>
      <c r="AF175" s="264">
        <v>39</v>
      </c>
      <c r="AG175" s="264" t="s">
        <v>660</v>
      </c>
      <c r="AH175" s="264">
        <v>13</v>
      </c>
      <c r="AI175" s="264" t="s">
        <v>734</v>
      </c>
      <c r="AJ175" s="264">
        <v>8</v>
      </c>
      <c r="AK175" s="66">
        <v>43538</v>
      </c>
      <c r="AL175" s="264"/>
      <c r="AM175" s="264"/>
      <c r="AN175" s="264">
        <v>23</v>
      </c>
      <c r="AO175" s="264" t="s">
        <v>841</v>
      </c>
      <c r="AP175" s="66">
        <v>43672</v>
      </c>
      <c r="AQ175" s="264">
        <v>4</v>
      </c>
      <c r="AR175" s="264"/>
      <c r="AS175" s="264">
        <v>17</v>
      </c>
      <c r="AT175" s="264" t="s">
        <v>784</v>
      </c>
      <c r="AU175" s="66">
        <v>43696</v>
      </c>
      <c r="AV175" s="264">
        <v>10</v>
      </c>
      <c r="AW175" s="264" t="s">
        <v>688</v>
      </c>
      <c r="AX175" s="264">
        <v>2</v>
      </c>
      <c r="AY175" s="264" t="s">
        <v>651</v>
      </c>
      <c r="AZ175" s="66">
        <v>43648</v>
      </c>
      <c r="BA175" s="264">
        <v>48</v>
      </c>
      <c r="BB175" s="66">
        <v>43538</v>
      </c>
      <c r="BC175" s="264" t="s">
        <v>1430</v>
      </c>
      <c r="BD175" s="264">
        <v>34</v>
      </c>
      <c r="BE175" s="264" t="s">
        <v>818</v>
      </c>
      <c r="BF175" s="264" t="s">
        <v>1352</v>
      </c>
      <c r="BG175" s="264">
        <v>54</v>
      </c>
      <c r="BH175" s="66">
        <v>43597</v>
      </c>
      <c r="BI175" s="264" t="s">
        <v>1113</v>
      </c>
      <c r="BJ175" s="264">
        <v>4</v>
      </c>
      <c r="BK175" s="264" t="s">
        <v>651</v>
      </c>
      <c r="BL175" s="66">
        <v>43560</v>
      </c>
      <c r="BM175" s="264">
        <v>4</v>
      </c>
      <c r="BN175" s="264" t="s">
        <v>651</v>
      </c>
      <c r="BO175" s="264"/>
      <c r="BP175" s="264">
        <v>1</v>
      </c>
      <c r="BQ175" s="264">
        <v>2</v>
      </c>
      <c r="BR175" s="264"/>
      <c r="BS175" s="264" t="s">
        <v>651</v>
      </c>
      <c r="BT175" s="264"/>
      <c r="BU175" s="264"/>
      <c r="BV175" s="264"/>
      <c r="BW175" s="264"/>
      <c r="BX175" s="264">
        <v>3</v>
      </c>
      <c r="BY175" s="264">
        <v>1</v>
      </c>
      <c r="BZ175" s="264"/>
      <c r="CA175" s="264" t="s">
        <v>651</v>
      </c>
      <c r="CB175" s="264"/>
      <c r="CC175" s="264"/>
      <c r="CD175" s="264"/>
      <c r="CE175" s="264"/>
      <c r="CF175" s="264"/>
      <c r="CG175" s="264"/>
      <c r="CH175" s="264"/>
      <c r="CI175" s="264"/>
      <c r="CJ175" s="264">
        <v>3</v>
      </c>
      <c r="CK175" s="264">
        <v>1</v>
      </c>
      <c r="CL175" s="264">
        <v>1</v>
      </c>
      <c r="CM175" s="264" t="s">
        <v>657</v>
      </c>
      <c r="CN175" s="264"/>
      <c r="CO175" s="264"/>
      <c r="CP175" s="264"/>
      <c r="CQ175" s="264"/>
      <c r="CR175" s="264"/>
      <c r="CS175" s="264"/>
      <c r="CT175" s="264"/>
      <c r="CU175" s="264">
        <v>19</v>
      </c>
      <c r="CV175" s="264">
        <v>21</v>
      </c>
      <c r="CW175" s="264">
        <v>8</v>
      </c>
      <c r="CX175" s="264" t="s">
        <v>773</v>
      </c>
      <c r="CY175" s="264"/>
      <c r="CZ175" s="264"/>
      <c r="DA175" s="264"/>
      <c r="DB175" s="264"/>
      <c r="DC175" s="264"/>
      <c r="DD175" s="264">
        <v>1</v>
      </c>
      <c r="DE175" s="264"/>
      <c r="DF175" s="264">
        <v>8</v>
      </c>
      <c r="DG175" s="264">
        <v>7</v>
      </c>
      <c r="DH175" s="264">
        <v>4</v>
      </c>
      <c r="DI175" s="264" t="s">
        <v>824</v>
      </c>
      <c r="DJ175" s="264"/>
      <c r="DK175" s="264"/>
      <c r="DL175" s="264"/>
      <c r="DM175" s="264"/>
      <c r="DN175" s="264">
        <v>2</v>
      </c>
      <c r="DO175" s="264">
        <v>1</v>
      </c>
      <c r="DP175" s="264"/>
      <c r="DQ175" s="264" t="s">
        <v>651</v>
      </c>
      <c r="DR175" s="264">
        <v>4</v>
      </c>
      <c r="DS175" s="264" t="s">
        <v>714</v>
      </c>
      <c r="DT175" s="264">
        <v>4</v>
      </c>
      <c r="DU175" s="264" t="s">
        <v>714</v>
      </c>
      <c r="DV175" s="264">
        <v>2</v>
      </c>
      <c r="DW175" s="264"/>
      <c r="DX175" s="264">
        <v>4</v>
      </c>
      <c r="DY175" s="264" t="s">
        <v>731</v>
      </c>
      <c r="DZ175" s="264">
        <v>4</v>
      </c>
      <c r="EA175" s="264" t="s">
        <v>731</v>
      </c>
      <c r="EB175" s="264">
        <v>1</v>
      </c>
      <c r="EC175" s="264" t="s">
        <v>651</v>
      </c>
      <c r="ED175" s="264"/>
      <c r="EE175" s="264">
        <v>3</v>
      </c>
      <c r="EF175" s="264">
        <v>1</v>
      </c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 t="s">
        <v>649</v>
      </c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 t="s">
        <v>652</v>
      </c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 t="s">
        <v>37</v>
      </c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 t="s">
        <v>653</v>
      </c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 t="s">
        <v>654</v>
      </c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 t="s">
        <v>649</v>
      </c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 t="s">
        <v>655</v>
      </c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 t="s">
        <v>37</v>
      </c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>
        <v>20</v>
      </c>
      <c r="D177" s="264"/>
      <c r="E177" s="264">
        <v>10</v>
      </c>
      <c r="F177" s="264"/>
      <c r="G177" s="264">
        <v>20</v>
      </c>
      <c r="H177" s="264"/>
      <c r="I177" s="264">
        <v>10</v>
      </c>
      <c r="J177" s="264"/>
      <c r="K177" s="264">
        <v>4</v>
      </c>
      <c r="L177" s="264"/>
      <c r="M177" s="264"/>
      <c r="N177" s="264" t="s">
        <v>837</v>
      </c>
      <c r="O177" s="264">
        <v>2</v>
      </c>
      <c r="P177" s="264"/>
      <c r="Q177" s="264">
        <v>2</v>
      </c>
      <c r="R177" s="264"/>
      <c r="S177" s="264">
        <v>2</v>
      </c>
      <c r="T177" s="264"/>
      <c r="U177" s="264" t="s">
        <v>657</v>
      </c>
      <c r="V177" s="264"/>
      <c r="W177" s="264"/>
      <c r="X177" s="264">
        <v>14</v>
      </c>
      <c r="Y177" s="264"/>
      <c r="Z177" s="264">
        <v>8</v>
      </c>
      <c r="AA177" s="264"/>
      <c r="AB177" s="264"/>
      <c r="AC177" s="264" t="s">
        <v>651</v>
      </c>
      <c r="AD177" s="264">
        <v>6</v>
      </c>
      <c r="AE177" s="264"/>
      <c r="AF177" s="264">
        <v>2</v>
      </c>
      <c r="AG177" s="264"/>
      <c r="AH177" s="264">
        <v>4</v>
      </c>
      <c r="AI177" s="264" t="s">
        <v>714</v>
      </c>
      <c r="AJ177" s="264">
        <v>4</v>
      </c>
      <c r="AK177" s="264"/>
      <c r="AL177" s="264"/>
      <c r="AM177" s="264"/>
      <c r="AN177" s="264">
        <v>4</v>
      </c>
      <c r="AO177" s="264"/>
      <c r="AP177" s="264" t="s">
        <v>690</v>
      </c>
      <c r="AQ177" s="264"/>
      <c r="AR177" s="264"/>
      <c r="AS177" s="264">
        <v>4</v>
      </c>
      <c r="AT177" s="264"/>
      <c r="AU177" s="264" t="s">
        <v>690</v>
      </c>
      <c r="AV177" s="264">
        <v>1</v>
      </c>
      <c r="AW177" s="264"/>
      <c r="AX177" s="264"/>
      <c r="AY177" s="264"/>
      <c r="AZ177" s="264"/>
      <c r="BA177" s="264">
        <v>4</v>
      </c>
      <c r="BB177" s="264"/>
      <c r="BC177" s="264" t="s">
        <v>696</v>
      </c>
      <c r="BD177" s="264">
        <v>8</v>
      </c>
      <c r="BE177" s="264"/>
      <c r="BF177" s="264" t="s">
        <v>693</v>
      </c>
      <c r="BG177" s="264">
        <v>9</v>
      </c>
      <c r="BH177" s="264"/>
      <c r="BI177" s="264" t="s">
        <v>749</v>
      </c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>
        <v>1</v>
      </c>
      <c r="BZ177" s="264"/>
      <c r="CA177" s="264" t="s">
        <v>651</v>
      </c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>
        <v>4</v>
      </c>
      <c r="CV177" s="264">
        <v>1</v>
      </c>
      <c r="CW177" s="264">
        <v>2</v>
      </c>
      <c r="CX177" s="264" t="s">
        <v>714</v>
      </c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>
        <v>1</v>
      </c>
      <c r="DY177" s="264"/>
      <c r="DZ177" s="264">
        <v>1</v>
      </c>
      <c r="EA177" s="264"/>
      <c r="EB177" s="264">
        <v>1</v>
      </c>
      <c r="EC177" s="264"/>
      <c r="ED177" s="264" t="s">
        <v>1222</v>
      </c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>
        <v>13</v>
      </c>
      <c r="D178" s="264" t="s">
        <v>699</v>
      </c>
      <c r="E178" s="264">
        <v>8</v>
      </c>
      <c r="F178" s="264" t="s">
        <v>669</v>
      </c>
      <c r="G178" s="264">
        <v>13</v>
      </c>
      <c r="H178" s="264" t="s">
        <v>699</v>
      </c>
      <c r="I178" s="264">
        <v>8</v>
      </c>
      <c r="J178" s="264" t="s">
        <v>669</v>
      </c>
      <c r="K178" s="264">
        <v>1</v>
      </c>
      <c r="L178" s="264" t="s">
        <v>728</v>
      </c>
      <c r="M178" s="264"/>
      <c r="N178" s="264" t="s">
        <v>675</v>
      </c>
      <c r="O178" s="264">
        <v>3</v>
      </c>
      <c r="P178" s="264" t="s">
        <v>657</v>
      </c>
      <c r="Q178" s="264">
        <v>1</v>
      </c>
      <c r="R178" s="264" t="s">
        <v>678</v>
      </c>
      <c r="S178" s="264"/>
      <c r="T178" s="264" t="s">
        <v>650</v>
      </c>
      <c r="U178" s="264" t="s">
        <v>651</v>
      </c>
      <c r="V178" s="264"/>
      <c r="W178" s="264"/>
      <c r="X178" s="264">
        <v>9</v>
      </c>
      <c r="Y178" s="264" t="s">
        <v>927</v>
      </c>
      <c r="Z178" s="264">
        <v>6</v>
      </c>
      <c r="AA178" s="264" t="s">
        <v>672</v>
      </c>
      <c r="AB178" s="264"/>
      <c r="AC178" s="264" t="s">
        <v>651</v>
      </c>
      <c r="AD178" s="264">
        <v>4</v>
      </c>
      <c r="AE178" s="264" t="s">
        <v>677</v>
      </c>
      <c r="AF178" s="264">
        <v>2</v>
      </c>
      <c r="AG178" s="264"/>
      <c r="AH178" s="264">
        <v>1</v>
      </c>
      <c r="AI178" s="264" t="s">
        <v>667</v>
      </c>
      <c r="AJ178" s="264">
        <v>6</v>
      </c>
      <c r="AK178" s="264" t="s">
        <v>657</v>
      </c>
      <c r="AL178" s="264"/>
      <c r="AM178" s="264"/>
      <c r="AN178" s="264">
        <v>2</v>
      </c>
      <c r="AO178" s="264" t="s">
        <v>678</v>
      </c>
      <c r="AP178" s="66">
        <v>43570</v>
      </c>
      <c r="AQ178" s="264"/>
      <c r="AR178" s="264"/>
      <c r="AS178" s="264">
        <v>1</v>
      </c>
      <c r="AT178" s="264" t="s">
        <v>728</v>
      </c>
      <c r="AU178" s="66">
        <v>43653</v>
      </c>
      <c r="AV178" s="264">
        <v>1</v>
      </c>
      <c r="AW178" s="264"/>
      <c r="AX178" s="264">
        <v>1</v>
      </c>
      <c r="AY178" s="264" t="s">
        <v>651</v>
      </c>
      <c r="AZ178" s="66">
        <v>43597</v>
      </c>
      <c r="BA178" s="264">
        <v>2</v>
      </c>
      <c r="BB178" s="264" t="s">
        <v>678</v>
      </c>
      <c r="BC178" s="264" t="s">
        <v>688</v>
      </c>
      <c r="BD178" s="264">
        <v>3</v>
      </c>
      <c r="BE178" s="264" t="s">
        <v>812</v>
      </c>
      <c r="BF178" s="264" t="s">
        <v>742</v>
      </c>
      <c r="BG178" s="264">
        <v>4</v>
      </c>
      <c r="BH178" s="264" t="s">
        <v>736</v>
      </c>
      <c r="BI178" s="264" t="s">
        <v>657</v>
      </c>
      <c r="BJ178" s="264"/>
      <c r="BK178" s="264"/>
      <c r="BL178" s="264"/>
      <c r="BM178" s="264"/>
      <c r="BN178" s="264"/>
      <c r="BO178" s="264"/>
      <c r="BP178" s="264"/>
      <c r="BQ178" s="264">
        <v>1</v>
      </c>
      <c r="BR178" s="264"/>
      <c r="BS178" s="264" t="s">
        <v>651</v>
      </c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>
        <v>2</v>
      </c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>
        <v>2</v>
      </c>
      <c r="CV178" s="264">
        <v>4</v>
      </c>
      <c r="CW178" s="264">
        <v>1</v>
      </c>
      <c r="CX178" s="264" t="s">
        <v>693</v>
      </c>
      <c r="CY178" s="264"/>
      <c r="CZ178" s="264"/>
      <c r="DA178" s="264"/>
      <c r="DB178" s="264"/>
      <c r="DC178" s="264">
        <v>1</v>
      </c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 t="s">
        <v>650</v>
      </c>
      <c r="DZ178" s="264"/>
      <c r="EA178" s="264" t="s">
        <v>650</v>
      </c>
      <c r="EB178" s="264"/>
      <c r="EC178" s="264" t="s">
        <v>650</v>
      </c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 t="s">
        <v>649</v>
      </c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 t="s">
        <v>652</v>
      </c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 t="s">
        <v>37</v>
      </c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 t="s">
        <v>653</v>
      </c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 t="s">
        <v>654</v>
      </c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 t="s">
        <v>649</v>
      </c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 t="s">
        <v>655</v>
      </c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 t="s">
        <v>37</v>
      </c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>
        <v>165</v>
      </c>
      <c r="D180" s="264"/>
      <c r="E180" s="264">
        <v>107</v>
      </c>
      <c r="F180" s="264"/>
      <c r="G180" s="264">
        <v>165</v>
      </c>
      <c r="H180" s="264"/>
      <c r="I180" s="264">
        <v>107</v>
      </c>
      <c r="J180" s="264"/>
      <c r="K180" s="264">
        <v>34</v>
      </c>
      <c r="L180" s="264"/>
      <c r="M180" s="264"/>
      <c r="N180" s="264" t="s">
        <v>1046</v>
      </c>
      <c r="O180" s="264">
        <v>44</v>
      </c>
      <c r="P180" s="264"/>
      <c r="Q180" s="264">
        <v>27</v>
      </c>
      <c r="R180" s="264"/>
      <c r="S180" s="264">
        <v>11</v>
      </c>
      <c r="T180" s="264"/>
      <c r="U180" s="264" t="s">
        <v>1100</v>
      </c>
      <c r="V180" s="264"/>
      <c r="W180" s="264"/>
      <c r="X180" s="264">
        <v>88</v>
      </c>
      <c r="Y180" s="264"/>
      <c r="Z180" s="264">
        <v>60</v>
      </c>
      <c r="AA180" s="264"/>
      <c r="AB180" s="264">
        <v>18</v>
      </c>
      <c r="AC180" s="264" t="s">
        <v>1009</v>
      </c>
      <c r="AD180" s="264">
        <v>77</v>
      </c>
      <c r="AE180" s="264"/>
      <c r="AF180" s="264">
        <v>47</v>
      </c>
      <c r="AG180" s="264"/>
      <c r="AH180" s="264">
        <v>16</v>
      </c>
      <c r="AI180" s="264" t="s">
        <v>855</v>
      </c>
      <c r="AJ180" s="264">
        <v>39</v>
      </c>
      <c r="AK180" s="264"/>
      <c r="AL180" s="264"/>
      <c r="AM180" s="264"/>
      <c r="AN180" s="264">
        <v>42</v>
      </c>
      <c r="AO180" s="264"/>
      <c r="AP180" s="66">
        <v>43610</v>
      </c>
      <c r="AQ180" s="264">
        <v>9</v>
      </c>
      <c r="AR180" s="264"/>
      <c r="AS180" s="264">
        <v>12</v>
      </c>
      <c r="AT180" s="264"/>
      <c r="AU180" s="66">
        <v>43531</v>
      </c>
      <c r="AV180" s="264">
        <v>33</v>
      </c>
      <c r="AW180" s="264"/>
      <c r="AX180" s="264">
        <v>6</v>
      </c>
      <c r="AY180" s="264"/>
      <c r="AZ180" s="66">
        <v>43621</v>
      </c>
      <c r="BA180" s="264">
        <v>57</v>
      </c>
      <c r="BB180" s="264"/>
      <c r="BC180" s="264" t="s">
        <v>694</v>
      </c>
      <c r="BD180" s="264">
        <v>45</v>
      </c>
      <c r="BE180" s="264"/>
      <c r="BF180" s="264" t="s">
        <v>955</v>
      </c>
      <c r="BG180" s="264">
        <v>62</v>
      </c>
      <c r="BH180" s="264"/>
      <c r="BI180" s="264" t="s">
        <v>681</v>
      </c>
      <c r="BJ180" s="264">
        <v>8</v>
      </c>
      <c r="BK180" s="264"/>
      <c r="BL180" s="66">
        <v>43592</v>
      </c>
      <c r="BM180" s="264">
        <v>3</v>
      </c>
      <c r="BN180" s="264" t="s">
        <v>742</v>
      </c>
      <c r="BO180" s="264">
        <v>3</v>
      </c>
      <c r="BP180" s="264"/>
      <c r="BQ180" s="264"/>
      <c r="BR180" s="264"/>
      <c r="BS180" s="264"/>
      <c r="BT180" s="264"/>
      <c r="BU180" s="264"/>
      <c r="BV180" s="264"/>
      <c r="BW180" s="264"/>
      <c r="BX180" s="264">
        <v>3</v>
      </c>
      <c r="BY180" s="264">
        <v>3</v>
      </c>
      <c r="BZ180" s="264"/>
      <c r="CA180" s="264" t="s">
        <v>651</v>
      </c>
      <c r="CB180" s="264">
        <v>1</v>
      </c>
      <c r="CC180" s="264"/>
      <c r="CD180" s="264"/>
      <c r="CE180" s="264"/>
      <c r="CF180" s="264"/>
      <c r="CG180" s="264">
        <v>4</v>
      </c>
      <c r="CH180" s="264"/>
      <c r="CI180" s="264" t="s">
        <v>651</v>
      </c>
      <c r="CJ180" s="264">
        <v>5</v>
      </c>
      <c r="CK180" s="264">
        <v>3</v>
      </c>
      <c r="CL180" s="264"/>
      <c r="CM180" s="264" t="s">
        <v>651</v>
      </c>
      <c r="CN180" s="264"/>
      <c r="CO180" s="264"/>
      <c r="CP180" s="264"/>
      <c r="CQ180" s="264"/>
      <c r="CR180" s="264"/>
      <c r="CS180" s="264"/>
      <c r="CT180" s="264"/>
      <c r="CU180" s="264">
        <v>61</v>
      </c>
      <c r="CV180" s="264">
        <v>31</v>
      </c>
      <c r="CW180" s="264">
        <v>17</v>
      </c>
      <c r="CX180" s="264" t="s">
        <v>1131</v>
      </c>
      <c r="CY180" s="264">
        <v>9</v>
      </c>
      <c r="CZ180" s="264">
        <v>1</v>
      </c>
      <c r="DA180" s="264">
        <v>1</v>
      </c>
      <c r="DB180" s="264" t="s">
        <v>657</v>
      </c>
      <c r="DC180" s="264"/>
      <c r="DD180" s="264"/>
      <c r="DE180" s="264"/>
      <c r="DF180" s="264">
        <v>9</v>
      </c>
      <c r="DG180" s="264">
        <v>1</v>
      </c>
      <c r="DH180" s="264">
        <v>2</v>
      </c>
      <c r="DI180" s="264" t="s">
        <v>714</v>
      </c>
      <c r="DJ180" s="264"/>
      <c r="DK180" s="264"/>
      <c r="DL180" s="264"/>
      <c r="DM180" s="264"/>
      <c r="DN180" s="264">
        <v>1</v>
      </c>
      <c r="DO180" s="264"/>
      <c r="DP180" s="264"/>
      <c r="DQ180" s="264"/>
      <c r="DR180" s="264">
        <v>5</v>
      </c>
      <c r="DS180" s="264"/>
      <c r="DT180" s="264">
        <v>2</v>
      </c>
      <c r="DU180" s="264"/>
      <c r="DV180" s="264">
        <v>2</v>
      </c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>
        <v>3</v>
      </c>
      <c r="ER180" s="264"/>
      <c r="ES180" s="264"/>
      <c r="ET180" s="264"/>
      <c r="EU180" s="264"/>
    </row>
    <row r="181" spans="1:151">
      <c r="A181" s="160"/>
      <c r="B181" s="264" t="s">
        <v>413</v>
      </c>
      <c r="C181" s="264">
        <v>137</v>
      </c>
      <c r="D181" s="264" t="s">
        <v>1021</v>
      </c>
      <c r="E181" s="264">
        <v>99</v>
      </c>
      <c r="F181" s="264" t="s">
        <v>1426</v>
      </c>
      <c r="G181" s="264">
        <v>137</v>
      </c>
      <c r="H181" s="264" t="s">
        <v>1021</v>
      </c>
      <c r="I181" s="264">
        <v>99</v>
      </c>
      <c r="J181" s="264" t="s">
        <v>1426</v>
      </c>
      <c r="K181" s="264">
        <v>27</v>
      </c>
      <c r="L181" s="264" t="s">
        <v>842</v>
      </c>
      <c r="M181" s="264"/>
      <c r="N181" s="264" t="s">
        <v>1038</v>
      </c>
      <c r="O181" s="264">
        <v>21</v>
      </c>
      <c r="P181" s="264" t="s">
        <v>1448</v>
      </c>
      <c r="Q181" s="264">
        <v>22</v>
      </c>
      <c r="R181" s="264" t="s">
        <v>1380</v>
      </c>
      <c r="S181" s="264">
        <v>3</v>
      </c>
      <c r="T181" s="264" t="s">
        <v>994</v>
      </c>
      <c r="U181" s="264" t="s">
        <v>1438</v>
      </c>
      <c r="V181" s="264"/>
      <c r="W181" s="264"/>
      <c r="X181" s="264">
        <v>70</v>
      </c>
      <c r="Y181" s="264" t="s">
        <v>1072</v>
      </c>
      <c r="Z181" s="264">
        <v>56</v>
      </c>
      <c r="AA181" s="264" t="s">
        <v>739</v>
      </c>
      <c r="AB181" s="264">
        <v>19</v>
      </c>
      <c r="AC181" s="264" t="s">
        <v>1219</v>
      </c>
      <c r="AD181" s="264">
        <v>67</v>
      </c>
      <c r="AE181" s="264" t="s">
        <v>811</v>
      </c>
      <c r="AF181" s="264">
        <v>43</v>
      </c>
      <c r="AG181" s="264" t="s">
        <v>1304</v>
      </c>
      <c r="AH181" s="264">
        <v>8</v>
      </c>
      <c r="AI181" s="264" t="s">
        <v>1390</v>
      </c>
      <c r="AJ181" s="264">
        <v>27</v>
      </c>
      <c r="AK181" s="264" t="s">
        <v>683</v>
      </c>
      <c r="AL181" s="264"/>
      <c r="AM181" s="264"/>
      <c r="AN181" s="264">
        <v>44</v>
      </c>
      <c r="AO181" s="66">
        <v>43681</v>
      </c>
      <c r="AP181" s="264" t="s">
        <v>1414</v>
      </c>
      <c r="AQ181" s="264">
        <v>4</v>
      </c>
      <c r="AR181" s="264" t="s">
        <v>736</v>
      </c>
      <c r="AS181" s="264">
        <v>15</v>
      </c>
      <c r="AT181" s="264" t="s">
        <v>688</v>
      </c>
      <c r="AU181" s="66">
        <v>43718</v>
      </c>
      <c r="AV181" s="264">
        <v>17</v>
      </c>
      <c r="AW181" s="264" t="s">
        <v>1347</v>
      </c>
      <c r="AX181" s="264">
        <v>5</v>
      </c>
      <c r="AY181" s="264" t="s">
        <v>692</v>
      </c>
      <c r="AZ181" s="66">
        <v>43470</v>
      </c>
      <c r="BA181" s="264">
        <v>50</v>
      </c>
      <c r="BB181" s="264" t="s">
        <v>898</v>
      </c>
      <c r="BC181" s="264" t="s">
        <v>827</v>
      </c>
      <c r="BD181" s="264">
        <v>30</v>
      </c>
      <c r="BE181" s="264" t="s">
        <v>677</v>
      </c>
      <c r="BF181" s="66">
        <v>43554</v>
      </c>
      <c r="BG181" s="264">
        <v>51</v>
      </c>
      <c r="BH181" s="264" t="s">
        <v>935</v>
      </c>
      <c r="BI181" s="264" t="s">
        <v>1371</v>
      </c>
      <c r="BJ181" s="264">
        <v>5</v>
      </c>
      <c r="BK181" s="264" t="s">
        <v>715</v>
      </c>
      <c r="BL181" s="66">
        <v>43470</v>
      </c>
      <c r="BM181" s="264">
        <v>5</v>
      </c>
      <c r="BN181" s="264" t="s">
        <v>651</v>
      </c>
      <c r="BO181" s="264"/>
      <c r="BP181" s="264"/>
      <c r="BQ181" s="264">
        <v>3</v>
      </c>
      <c r="BR181" s="264"/>
      <c r="BS181" s="264" t="s">
        <v>651</v>
      </c>
      <c r="BT181" s="264"/>
      <c r="BU181" s="264"/>
      <c r="BV181" s="264"/>
      <c r="BW181" s="264"/>
      <c r="BX181" s="264">
        <v>2</v>
      </c>
      <c r="BY181" s="264">
        <v>3</v>
      </c>
      <c r="BZ181" s="264">
        <v>1</v>
      </c>
      <c r="CA181" s="264" t="s">
        <v>734</v>
      </c>
      <c r="CB181" s="264"/>
      <c r="CC181" s="264">
        <v>2</v>
      </c>
      <c r="CD181" s="264">
        <v>1</v>
      </c>
      <c r="CE181" s="264" t="s">
        <v>667</v>
      </c>
      <c r="CF181" s="264"/>
      <c r="CG181" s="264"/>
      <c r="CH181" s="264"/>
      <c r="CI181" s="264"/>
      <c r="CJ181" s="264">
        <v>2</v>
      </c>
      <c r="CK181" s="264">
        <v>2</v>
      </c>
      <c r="CL181" s="264"/>
      <c r="CM181" s="264" t="s">
        <v>651</v>
      </c>
      <c r="CN181" s="264"/>
      <c r="CO181" s="264"/>
      <c r="CP181" s="264"/>
      <c r="CQ181" s="264"/>
      <c r="CR181" s="264"/>
      <c r="CS181" s="264"/>
      <c r="CT181" s="264"/>
      <c r="CU181" s="264">
        <v>53</v>
      </c>
      <c r="CV181" s="264">
        <v>35</v>
      </c>
      <c r="CW181" s="264">
        <v>13</v>
      </c>
      <c r="CX181" s="264" t="s">
        <v>957</v>
      </c>
      <c r="CY181" s="264">
        <v>1</v>
      </c>
      <c r="CZ181" s="264">
        <v>1</v>
      </c>
      <c r="DA181" s="264"/>
      <c r="DB181" s="264" t="s">
        <v>651</v>
      </c>
      <c r="DC181" s="264">
        <v>1</v>
      </c>
      <c r="DD181" s="264"/>
      <c r="DE181" s="264"/>
      <c r="DF181" s="264">
        <v>13</v>
      </c>
      <c r="DG181" s="264">
        <v>2</v>
      </c>
      <c r="DH181" s="264">
        <v>8</v>
      </c>
      <c r="DI181" s="264" t="s">
        <v>690</v>
      </c>
      <c r="DJ181" s="264"/>
      <c r="DK181" s="264">
        <v>1</v>
      </c>
      <c r="DL181" s="264">
        <v>1</v>
      </c>
      <c r="DM181" s="264" t="s">
        <v>657</v>
      </c>
      <c r="DN181" s="264">
        <v>2</v>
      </c>
      <c r="DO181" s="264"/>
      <c r="DP181" s="264"/>
      <c r="DQ181" s="264"/>
      <c r="DR181" s="264">
        <v>1</v>
      </c>
      <c r="DS181" s="264" t="s">
        <v>889</v>
      </c>
      <c r="DT181" s="264">
        <v>1</v>
      </c>
      <c r="DU181" s="264" t="s">
        <v>678</v>
      </c>
      <c r="DV181" s="264">
        <v>1</v>
      </c>
      <c r="DW181" s="264" t="s">
        <v>678</v>
      </c>
      <c r="DX181" s="264">
        <v>2</v>
      </c>
      <c r="DY181" s="264" t="s">
        <v>651</v>
      </c>
      <c r="DZ181" s="264">
        <v>2</v>
      </c>
      <c r="EA181" s="264" t="s">
        <v>651</v>
      </c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 t="s">
        <v>649</v>
      </c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 t="s">
        <v>652</v>
      </c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 t="s">
        <v>37</v>
      </c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 t="s">
        <v>653</v>
      </c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 t="s">
        <v>654</v>
      </c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 t="s">
        <v>649</v>
      </c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 t="s">
        <v>655</v>
      </c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 t="s">
        <v>37</v>
      </c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>
        <v>13</v>
      </c>
      <c r="D183" s="264"/>
      <c r="E183" s="264">
        <v>6</v>
      </c>
      <c r="F183" s="264"/>
      <c r="G183" s="264">
        <v>13</v>
      </c>
      <c r="H183" s="264"/>
      <c r="I183" s="264">
        <v>6</v>
      </c>
      <c r="J183" s="264"/>
      <c r="K183" s="264"/>
      <c r="L183" s="264"/>
      <c r="M183" s="264"/>
      <c r="N183" s="264" t="s">
        <v>651</v>
      </c>
      <c r="O183" s="264">
        <v>2</v>
      </c>
      <c r="P183" s="264"/>
      <c r="Q183" s="264"/>
      <c r="R183" s="264"/>
      <c r="S183" s="264"/>
      <c r="T183" s="264"/>
      <c r="U183" s="264"/>
      <c r="V183" s="264"/>
      <c r="W183" s="264"/>
      <c r="X183" s="264">
        <v>7</v>
      </c>
      <c r="Y183" s="264"/>
      <c r="Z183" s="264">
        <v>5</v>
      </c>
      <c r="AA183" s="264"/>
      <c r="AB183" s="264"/>
      <c r="AC183" s="264" t="s">
        <v>651</v>
      </c>
      <c r="AD183" s="264">
        <v>6</v>
      </c>
      <c r="AE183" s="264"/>
      <c r="AF183" s="264">
        <v>1</v>
      </c>
      <c r="AG183" s="264"/>
      <c r="AH183" s="264"/>
      <c r="AI183" s="264" t="s">
        <v>651</v>
      </c>
      <c r="AJ183" s="264">
        <v>2</v>
      </c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>
        <v>3</v>
      </c>
      <c r="BB183" s="264"/>
      <c r="BC183" s="264" t="s">
        <v>657</v>
      </c>
      <c r="BD183" s="264">
        <v>1</v>
      </c>
      <c r="BE183" s="264"/>
      <c r="BF183" s="66">
        <v>43662</v>
      </c>
      <c r="BG183" s="264">
        <v>3</v>
      </c>
      <c r="BH183" s="264"/>
      <c r="BI183" s="264" t="s">
        <v>657</v>
      </c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>
        <v>3</v>
      </c>
      <c r="CV183" s="264">
        <v>1</v>
      </c>
      <c r="CW183" s="264"/>
      <c r="CX183" s="264" t="s">
        <v>651</v>
      </c>
      <c r="CY183" s="264">
        <v>1</v>
      </c>
      <c r="CZ183" s="264"/>
      <c r="DA183" s="264"/>
      <c r="DB183" s="264"/>
      <c r="DC183" s="264"/>
      <c r="DD183" s="264"/>
      <c r="DE183" s="264"/>
      <c r="DF183" s="264">
        <v>1</v>
      </c>
      <c r="DG183" s="264">
        <v>1</v>
      </c>
      <c r="DH183" s="264"/>
      <c r="DI183" s="264" t="s">
        <v>651</v>
      </c>
      <c r="DJ183" s="264"/>
      <c r="DK183" s="264"/>
      <c r="DL183" s="264"/>
      <c r="DM183" s="264"/>
      <c r="DN183" s="264">
        <v>1</v>
      </c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>
        <v>11</v>
      </c>
      <c r="D184" s="264" t="s">
        <v>853</v>
      </c>
      <c r="E184" s="264">
        <v>8</v>
      </c>
      <c r="F184" s="264" t="s">
        <v>714</v>
      </c>
      <c r="G184" s="264">
        <v>11</v>
      </c>
      <c r="H184" s="264" t="s">
        <v>853</v>
      </c>
      <c r="I184" s="264">
        <v>8</v>
      </c>
      <c r="J184" s="264" t="s">
        <v>714</v>
      </c>
      <c r="K184" s="264">
        <v>2</v>
      </c>
      <c r="L184" s="264" t="s">
        <v>651</v>
      </c>
      <c r="M184" s="264"/>
      <c r="N184" s="264" t="s">
        <v>693</v>
      </c>
      <c r="O184" s="264">
        <v>3</v>
      </c>
      <c r="P184" s="264" t="s">
        <v>657</v>
      </c>
      <c r="Q184" s="264"/>
      <c r="R184" s="264"/>
      <c r="S184" s="264"/>
      <c r="T184" s="264"/>
      <c r="U184" s="264"/>
      <c r="V184" s="264"/>
      <c r="W184" s="264"/>
      <c r="X184" s="264">
        <v>7</v>
      </c>
      <c r="Y184" s="264"/>
      <c r="Z184" s="264">
        <v>6</v>
      </c>
      <c r="AA184" s="264" t="s">
        <v>690</v>
      </c>
      <c r="AB184" s="264">
        <v>1</v>
      </c>
      <c r="AC184" s="264" t="s">
        <v>660</v>
      </c>
      <c r="AD184" s="264">
        <v>4</v>
      </c>
      <c r="AE184" s="264" t="s">
        <v>677</v>
      </c>
      <c r="AF184" s="264">
        <v>2</v>
      </c>
      <c r="AG184" s="264" t="s">
        <v>651</v>
      </c>
      <c r="AH184" s="264">
        <v>1</v>
      </c>
      <c r="AI184" s="264" t="s">
        <v>667</v>
      </c>
      <c r="AJ184" s="264">
        <v>2</v>
      </c>
      <c r="AK184" s="264"/>
      <c r="AL184" s="264"/>
      <c r="AM184" s="264"/>
      <c r="AN184" s="264">
        <v>2</v>
      </c>
      <c r="AO184" s="264" t="s">
        <v>651</v>
      </c>
      <c r="AP184" s="66">
        <v>43514</v>
      </c>
      <c r="AQ184" s="264"/>
      <c r="AR184" s="264"/>
      <c r="AS184" s="264">
        <v>2</v>
      </c>
      <c r="AT184" s="264" t="s">
        <v>651</v>
      </c>
      <c r="AU184" s="66">
        <v>43514</v>
      </c>
      <c r="AV184" s="264">
        <v>2</v>
      </c>
      <c r="AW184" s="264" t="s">
        <v>651</v>
      </c>
      <c r="AX184" s="264"/>
      <c r="AY184" s="264"/>
      <c r="AZ184" s="264"/>
      <c r="BA184" s="264">
        <v>4</v>
      </c>
      <c r="BB184" s="264" t="s">
        <v>714</v>
      </c>
      <c r="BC184" s="264" t="s">
        <v>657</v>
      </c>
      <c r="BD184" s="264">
        <v>7</v>
      </c>
      <c r="BE184" s="264" t="s">
        <v>1030</v>
      </c>
      <c r="BF184" s="264" t="s">
        <v>720</v>
      </c>
      <c r="BG184" s="264">
        <v>5</v>
      </c>
      <c r="BH184" s="264" t="s">
        <v>667</v>
      </c>
      <c r="BI184" s="264" t="s">
        <v>713</v>
      </c>
      <c r="BJ184" s="264">
        <v>1</v>
      </c>
      <c r="BK184" s="264" t="s">
        <v>651</v>
      </c>
      <c r="BL184" s="66">
        <v>43597</v>
      </c>
      <c r="BM184" s="264">
        <v>1</v>
      </c>
      <c r="BN184" s="264" t="s">
        <v>651</v>
      </c>
      <c r="BO184" s="264"/>
      <c r="BP184" s="264">
        <v>2</v>
      </c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>
        <v>1</v>
      </c>
      <c r="CV184" s="264">
        <v>2</v>
      </c>
      <c r="CW184" s="264">
        <v>1</v>
      </c>
      <c r="CX184" s="264" t="s">
        <v>667</v>
      </c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 t="s">
        <v>649</v>
      </c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 t="s">
        <v>652</v>
      </c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 t="s">
        <v>37</v>
      </c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 t="s">
        <v>653</v>
      </c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 t="s">
        <v>654</v>
      </c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 t="s">
        <v>649</v>
      </c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 t="s">
        <v>655</v>
      </c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 t="s">
        <v>37</v>
      </c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>
        <v>38</v>
      </c>
      <c r="D186" s="264"/>
      <c r="E186" s="264">
        <v>24</v>
      </c>
      <c r="F186" s="264"/>
      <c r="G186" s="264">
        <v>38</v>
      </c>
      <c r="H186" s="264"/>
      <c r="I186" s="264">
        <v>24</v>
      </c>
      <c r="J186" s="264"/>
      <c r="K186" s="264">
        <v>7</v>
      </c>
      <c r="L186" s="264"/>
      <c r="M186" s="264"/>
      <c r="N186" s="264" t="s">
        <v>1037</v>
      </c>
      <c r="O186" s="264">
        <v>12</v>
      </c>
      <c r="P186" s="264"/>
      <c r="Q186" s="264">
        <v>8</v>
      </c>
      <c r="R186" s="264"/>
      <c r="S186" s="264">
        <v>1</v>
      </c>
      <c r="T186" s="264"/>
      <c r="U186" s="264" t="s">
        <v>675</v>
      </c>
      <c r="V186" s="264"/>
      <c r="W186" s="264"/>
      <c r="X186" s="264">
        <v>12</v>
      </c>
      <c r="Y186" s="264"/>
      <c r="Z186" s="264">
        <v>11</v>
      </c>
      <c r="AA186" s="264"/>
      <c r="AB186" s="264">
        <v>3</v>
      </c>
      <c r="AC186" s="264" t="s">
        <v>1038</v>
      </c>
      <c r="AD186" s="264">
        <v>26</v>
      </c>
      <c r="AE186" s="264"/>
      <c r="AF186" s="264">
        <v>13</v>
      </c>
      <c r="AG186" s="264"/>
      <c r="AH186" s="264">
        <v>4</v>
      </c>
      <c r="AI186" s="264" t="s">
        <v>792</v>
      </c>
      <c r="AJ186" s="264">
        <v>4</v>
      </c>
      <c r="AK186" s="264"/>
      <c r="AL186" s="264"/>
      <c r="AM186" s="264"/>
      <c r="AN186" s="264">
        <v>12</v>
      </c>
      <c r="AO186" s="264"/>
      <c r="AP186" s="264" t="s">
        <v>1025</v>
      </c>
      <c r="AQ186" s="264">
        <v>1</v>
      </c>
      <c r="AR186" s="264"/>
      <c r="AS186" s="264">
        <v>6</v>
      </c>
      <c r="AT186" s="264"/>
      <c r="AU186" s="66">
        <v>43692</v>
      </c>
      <c r="AV186" s="264">
        <v>4</v>
      </c>
      <c r="AW186" s="264"/>
      <c r="AX186" s="264"/>
      <c r="AY186" s="264"/>
      <c r="AZ186" s="264"/>
      <c r="BA186" s="264">
        <v>13</v>
      </c>
      <c r="BB186" s="264"/>
      <c r="BC186" s="264" t="s">
        <v>888</v>
      </c>
      <c r="BD186" s="264">
        <v>13</v>
      </c>
      <c r="BE186" s="264"/>
      <c r="BF186" s="264" t="s">
        <v>888</v>
      </c>
      <c r="BG186" s="264">
        <v>12</v>
      </c>
      <c r="BH186" s="264"/>
      <c r="BI186" s="264" t="s">
        <v>657</v>
      </c>
      <c r="BJ186" s="264"/>
      <c r="BK186" s="264"/>
      <c r="BL186" s="264"/>
      <c r="BM186" s="264"/>
      <c r="BN186" s="264"/>
      <c r="BO186" s="264"/>
      <c r="BP186" s="264">
        <v>2</v>
      </c>
      <c r="BQ186" s="264">
        <v>2</v>
      </c>
      <c r="BR186" s="264"/>
      <c r="BS186" s="264" t="s">
        <v>651</v>
      </c>
      <c r="BT186" s="264"/>
      <c r="BU186" s="264"/>
      <c r="BV186" s="264"/>
      <c r="BW186" s="264"/>
      <c r="BX186" s="264">
        <v>2</v>
      </c>
      <c r="BY186" s="264">
        <v>2</v>
      </c>
      <c r="BZ186" s="264"/>
      <c r="CA186" s="264" t="s">
        <v>651</v>
      </c>
      <c r="CB186" s="264"/>
      <c r="CC186" s="264"/>
      <c r="CD186" s="264"/>
      <c r="CE186" s="264"/>
      <c r="CF186" s="264"/>
      <c r="CG186" s="264"/>
      <c r="CH186" s="264"/>
      <c r="CI186" s="264"/>
      <c r="CJ186" s="264">
        <v>2</v>
      </c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>
        <v>14</v>
      </c>
      <c r="CV186" s="264">
        <v>5</v>
      </c>
      <c r="CW186" s="264">
        <v>4</v>
      </c>
      <c r="CX186" s="264" t="s">
        <v>727</v>
      </c>
      <c r="CY186" s="264">
        <v>2</v>
      </c>
      <c r="CZ186" s="264">
        <v>1</v>
      </c>
      <c r="DA186" s="264"/>
      <c r="DB186" s="264" t="s">
        <v>651</v>
      </c>
      <c r="DC186" s="264"/>
      <c r="DD186" s="264"/>
      <c r="DE186" s="264"/>
      <c r="DF186" s="264">
        <v>3</v>
      </c>
      <c r="DG186" s="264"/>
      <c r="DH186" s="264">
        <v>2</v>
      </c>
      <c r="DI186" s="264"/>
      <c r="DJ186" s="264"/>
      <c r="DK186" s="264"/>
      <c r="DL186" s="264"/>
      <c r="DM186" s="264"/>
      <c r="DN186" s="264"/>
      <c r="DO186" s="264">
        <v>1</v>
      </c>
      <c r="DP186" s="264"/>
      <c r="DQ186" s="264" t="s">
        <v>651</v>
      </c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>
        <v>23</v>
      </c>
      <c r="D187" s="264" t="s">
        <v>1382</v>
      </c>
      <c r="E187" s="264">
        <v>20</v>
      </c>
      <c r="F187" s="264" t="s">
        <v>692</v>
      </c>
      <c r="G187" s="264">
        <v>23</v>
      </c>
      <c r="H187" s="264" t="s">
        <v>1382</v>
      </c>
      <c r="I187" s="264">
        <v>20</v>
      </c>
      <c r="J187" s="264" t="s">
        <v>692</v>
      </c>
      <c r="K187" s="264">
        <v>4</v>
      </c>
      <c r="L187" s="264" t="s">
        <v>904</v>
      </c>
      <c r="M187" s="264"/>
      <c r="N187" s="264" t="s">
        <v>674</v>
      </c>
      <c r="O187" s="264">
        <v>4</v>
      </c>
      <c r="P187" s="264" t="s">
        <v>743</v>
      </c>
      <c r="Q187" s="264">
        <v>1</v>
      </c>
      <c r="R187" s="264" t="s">
        <v>1014</v>
      </c>
      <c r="S187" s="264">
        <v>1</v>
      </c>
      <c r="T187" s="264"/>
      <c r="U187" s="264" t="s">
        <v>657</v>
      </c>
      <c r="V187" s="264"/>
      <c r="W187" s="264"/>
      <c r="X187" s="264">
        <v>10</v>
      </c>
      <c r="Y187" s="264" t="s">
        <v>692</v>
      </c>
      <c r="Z187" s="264">
        <v>12</v>
      </c>
      <c r="AA187" s="66">
        <v>43474</v>
      </c>
      <c r="AB187" s="264">
        <v>3</v>
      </c>
      <c r="AC187" s="264" t="s">
        <v>693</v>
      </c>
      <c r="AD187" s="264">
        <v>13</v>
      </c>
      <c r="AE187" s="264" t="s">
        <v>678</v>
      </c>
      <c r="AF187" s="264">
        <v>8</v>
      </c>
      <c r="AG187" s="264" t="s">
        <v>698</v>
      </c>
      <c r="AH187" s="264">
        <v>1</v>
      </c>
      <c r="AI187" s="264" t="s">
        <v>675</v>
      </c>
      <c r="AJ187" s="264">
        <v>4</v>
      </c>
      <c r="AK187" s="264"/>
      <c r="AL187" s="264"/>
      <c r="AM187" s="264"/>
      <c r="AN187" s="264">
        <v>8</v>
      </c>
      <c r="AO187" s="264" t="s">
        <v>677</v>
      </c>
      <c r="AP187" s="264" t="s">
        <v>768</v>
      </c>
      <c r="AQ187" s="264">
        <v>1</v>
      </c>
      <c r="AR187" s="264"/>
      <c r="AS187" s="264">
        <v>4</v>
      </c>
      <c r="AT187" s="264" t="s">
        <v>677</v>
      </c>
      <c r="AU187" s="66">
        <v>43572</v>
      </c>
      <c r="AV187" s="264">
        <v>2</v>
      </c>
      <c r="AW187" s="264" t="s">
        <v>678</v>
      </c>
      <c r="AX187" s="264">
        <v>1</v>
      </c>
      <c r="AY187" s="264" t="s">
        <v>651</v>
      </c>
      <c r="AZ187" s="264" t="s">
        <v>685</v>
      </c>
      <c r="BA187" s="264">
        <v>9</v>
      </c>
      <c r="BB187" s="264" t="s">
        <v>683</v>
      </c>
      <c r="BC187" s="264" t="s">
        <v>920</v>
      </c>
      <c r="BD187" s="264">
        <v>11</v>
      </c>
      <c r="BE187" s="264" t="s">
        <v>853</v>
      </c>
      <c r="BF187" s="264" t="s">
        <v>1051</v>
      </c>
      <c r="BG187" s="264">
        <v>13</v>
      </c>
      <c r="BH187" s="66">
        <v>43532</v>
      </c>
      <c r="BI187" s="264" t="s">
        <v>702</v>
      </c>
      <c r="BJ187" s="264"/>
      <c r="BK187" s="264"/>
      <c r="BL187" s="264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>
        <v>1</v>
      </c>
      <c r="BZ187" s="264"/>
      <c r="CA187" s="264" t="s">
        <v>651</v>
      </c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>
        <v>7</v>
      </c>
      <c r="CV187" s="264">
        <v>6</v>
      </c>
      <c r="CW187" s="264">
        <v>2</v>
      </c>
      <c r="CX187" s="264" t="s">
        <v>734</v>
      </c>
      <c r="CY187" s="264"/>
      <c r="CZ187" s="264"/>
      <c r="DA187" s="264"/>
      <c r="DB187" s="264"/>
      <c r="DC187" s="264"/>
      <c r="DD187" s="264"/>
      <c r="DE187" s="264"/>
      <c r="DF187" s="264">
        <v>3</v>
      </c>
      <c r="DG187" s="264">
        <v>1</v>
      </c>
      <c r="DH187" s="264"/>
      <c r="DI187" s="264" t="s">
        <v>651</v>
      </c>
      <c r="DJ187" s="264"/>
      <c r="DK187" s="264"/>
      <c r="DL187" s="264"/>
      <c r="DM187" s="264"/>
      <c r="DN187" s="264">
        <v>1</v>
      </c>
      <c r="DO187" s="264">
        <v>2</v>
      </c>
      <c r="DP187" s="264"/>
      <c r="DQ187" s="264" t="s">
        <v>651</v>
      </c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 t="s">
        <v>649</v>
      </c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 t="s">
        <v>652</v>
      </c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 t="s">
        <v>37</v>
      </c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 t="s">
        <v>653</v>
      </c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 t="s">
        <v>654</v>
      </c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 t="s">
        <v>649</v>
      </c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 t="s">
        <v>655</v>
      </c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 t="s">
        <v>37</v>
      </c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>
        <v>11</v>
      </c>
      <c r="D189" s="264"/>
      <c r="E189" s="264">
        <v>12</v>
      </c>
      <c r="F189" s="264"/>
      <c r="G189" s="264">
        <v>11</v>
      </c>
      <c r="H189" s="264"/>
      <c r="I189" s="264">
        <v>12</v>
      </c>
      <c r="J189" s="264"/>
      <c r="K189" s="264">
        <v>1</v>
      </c>
      <c r="L189" s="264"/>
      <c r="M189" s="264"/>
      <c r="N189" s="264" t="s">
        <v>753</v>
      </c>
      <c r="O189" s="264">
        <v>1</v>
      </c>
      <c r="P189" s="264"/>
      <c r="Q189" s="264">
        <v>5</v>
      </c>
      <c r="R189" s="264"/>
      <c r="S189" s="264">
        <v>1</v>
      </c>
      <c r="T189" s="264"/>
      <c r="U189" s="264" t="s">
        <v>674</v>
      </c>
      <c r="V189" s="264">
        <v>1</v>
      </c>
      <c r="W189" s="66">
        <v>43498</v>
      </c>
      <c r="X189" s="264">
        <v>5</v>
      </c>
      <c r="Y189" s="264"/>
      <c r="Z189" s="264">
        <v>5</v>
      </c>
      <c r="AA189" s="264"/>
      <c r="AB189" s="264"/>
      <c r="AC189" s="264" t="s">
        <v>651</v>
      </c>
      <c r="AD189" s="264">
        <v>6</v>
      </c>
      <c r="AE189" s="264"/>
      <c r="AF189" s="264">
        <v>7</v>
      </c>
      <c r="AG189" s="264"/>
      <c r="AH189" s="264">
        <v>1</v>
      </c>
      <c r="AI189" s="264" t="s">
        <v>720</v>
      </c>
      <c r="AJ189" s="264">
        <v>1</v>
      </c>
      <c r="AK189" s="264"/>
      <c r="AL189" s="264"/>
      <c r="AM189" s="264"/>
      <c r="AN189" s="264">
        <v>3</v>
      </c>
      <c r="AO189" s="264"/>
      <c r="AP189" s="66">
        <v>43551</v>
      </c>
      <c r="AQ189" s="264"/>
      <c r="AR189" s="264"/>
      <c r="AS189" s="264">
        <v>3</v>
      </c>
      <c r="AT189" s="264"/>
      <c r="AU189" s="66">
        <v>43551</v>
      </c>
      <c r="AV189" s="264"/>
      <c r="AW189" s="264"/>
      <c r="AX189" s="264">
        <v>3</v>
      </c>
      <c r="AY189" s="264"/>
      <c r="AZ189" s="264" t="s">
        <v>688</v>
      </c>
      <c r="BA189" s="264">
        <v>6</v>
      </c>
      <c r="BB189" s="264"/>
      <c r="BC189" s="264" t="s">
        <v>657</v>
      </c>
      <c r="BD189" s="264">
        <v>7</v>
      </c>
      <c r="BE189" s="264"/>
      <c r="BF189" s="264" t="s">
        <v>725</v>
      </c>
      <c r="BG189" s="264">
        <v>7</v>
      </c>
      <c r="BH189" s="264"/>
      <c r="BI189" s="264" t="s">
        <v>725</v>
      </c>
      <c r="BJ189" s="264"/>
      <c r="BK189" s="264"/>
      <c r="BL189" s="264"/>
      <c r="BM189" s="264"/>
      <c r="BN189" s="264"/>
      <c r="BO189" s="264"/>
      <c r="BP189" s="264"/>
      <c r="BQ189" s="264">
        <v>1</v>
      </c>
      <c r="BR189" s="264"/>
      <c r="BS189" s="264" t="s">
        <v>651</v>
      </c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>
        <v>1</v>
      </c>
      <c r="CH189" s="264"/>
      <c r="CI189" s="264" t="s">
        <v>651</v>
      </c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>
        <v>4</v>
      </c>
      <c r="CV189" s="264">
        <v>7</v>
      </c>
      <c r="CW189" s="264"/>
      <c r="CX189" s="264" t="s">
        <v>651</v>
      </c>
      <c r="CY189" s="264"/>
      <c r="CZ189" s="264">
        <v>2</v>
      </c>
      <c r="DA189" s="264"/>
      <c r="DB189" s="264" t="s">
        <v>651</v>
      </c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>
        <v>1</v>
      </c>
      <c r="DS189" s="264"/>
      <c r="DT189" s="264">
        <v>1</v>
      </c>
      <c r="DU189" s="264"/>
      <c r="DV189" s="264">
        <v>1</v>
      </c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>
        <v>22</v>
      </c>
      <c r="D190" s="264" t="s">
        <v>651</v>
      </c>
      <c r="E190" s="264">
        <v>14</v>
      </c>
      <c r="F190" s="66">
        <v>43662</v>
      </c>
      <c r="G190" s="264">
        <v>22</v>
      </c>
      <c r="H190" s="264" t="s">
        <v>651</v>
      </c>
      <c r="I190" s="264">
        <v>14</v>
      </c>
      <c r="J190" s="66">
        <v>43662</v>
      </c>
      <c r="K190" s="264">
        <v>1</v>
      </c>
      <c r="L190" s="264"/>
      <c r="M190" s="264"/>
      <c r="N190" s="264" t="s">
        <v>760</v>
      </c>
      <c r="O190" s="264">
        <v>4</v>
      </c>
      <c r="P190" s="264" t="s">
        <v>731</v>
      </c>
      <c r="Q190" s="264">
        <v>1</v>
      </c>
      <c r="R190" s="264" t="s">
        <v>889</v>
      </c>
      <c r="S190" s="264"/>
      <c r="T190" s="264" t="s">
        <v>650</v>
      </c>
      <c r="U190" s="264" t="s">
        <v>651</v>
      </c>
      <c r="V190" s="264"/>
      <c r="W190" s="264"/>
      <c r="X190" s="264">
        <v>11</v>
      </c>
      <c r="Y190" s="264" t="s">
        <v>1217</v>
      </c>
      <c r="Z190" s="264">
        <v>10</v>
      </c>
      <c r="AA190" s="264" t="s">
        <v>651</v>
      </c>
      <c r="AB190" s="264"/>
      <c r="AC190" s="264" t="s">
        <v>651</v>
      </c>
      <c r="AD190" s="264">
        <v>11</v>
      </c>
      <c r="AE190" s="264" t="s">
        <v>674</v>
      </c>
      <c r="AF190" s="264">
        <v>4</v>
      </c>
      <c r="AG190" s="264" t="s">
        <v>904</v>
      </c>
      <c r="AH190" s="264">
        <v>1</v>
      </c>
      <c r="AI190" s="264" t="s">
        <v>693</v>
      </c>
      <c r="AJ190" s="264">
        <v>3</v>
      </c>
      <c r="AK190" s="264" t="s">
        <v>697</v>
      </c>
      <c r="AL190" s="264"/>
      <c r="AM190" s="264"/>
      <c r="AN190" s="264">
        <v>7</v>
      </c>
      <c r="AO190" s="264" t="s">
        <v>746</v>
      </c>
      <c r="AP190" s="66">
        <v>43708</v>
      </c>
      <c r="AQ190" s="264"/>
      <c r="AR190" s="264"/>
      <c r="AS190" s="264">
        <v>4</v>
      </c>
      <c r="AT190" s="264" t="s">
        <v>714</v>
      </c>
      <c r="AU190" s="66">
        <v>43514</v>
      </c>
      <c r="AV190" s="264">
        <v>1</v>
      </c>
      <c r="AW190" s="264" t="s">
        <v>651</v>
      </c>
      <c r="AX190" s="264">
        <v>2</v>
      </c>
      <c r="AY190" s="264" t="s">
        <v>677</v>
      </c>
      <c r="AZ190" s="66">
        <v>43538</v>
      </c>
      <c r="BA190" s="264">
        <v>5</v>
      </c>
      <c r="BB190" s="264" t="s">
        <v>692</v>
      </c>
      <c r="BC190" s="264" t="s">
        <v>956</v>
      </c>
      <c r="BD190" s="264">
        <v>7</v>
      </c>
      <c r="BE190" s="264"/>
      <c r="BF190" s="264" t="s">
        <v>657</v>
      </c>
      <c r="BG190" s="264">
        <v>5</v>
      </c>
      <c r="BH190" s="264" t="s">
        <v>737</v>
      </c>
      <c r="BI190" s="264" t="s">
        <v>956</v>
      </c>
      <c r="BJ190" s="264">
        <v>2</v>
      </c>
      <c r="BK190" s="264" t="s">
        <v>651</v>
      </c>
      <c r="BL190" s="66">
        <v>43538</v>
      </c>
      <c r="BM190" s="264">
        <v>2</v>
      </c>
      <c r="BN190" s="264" t="s">
        <v>651</v>
      </c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>
        <v>1</v>
      </c>
      <c r="BZ190" s="264"/>
      <c r="CA190" s="264" t="s">
        <v>651</v>
      </c>
      <c r="CB190" s="264"/>
      <c r="CC190" s="264"/>
      <c r="CD190" s="264"/>
      <c r="CE190" s="264"/>
      <c r="CF190" s="264"/>
      <c r="CG190" s="264"/>
      <c r="CH190" s="264"/>
      <c r="CI190" s="264"/>
      <c r="CJ190" s="264">
        <v>2</v>
      </c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>
        <v>7</v>
      </c>
      <c r="CV190" s="264">
        <v>3</v>
      </c>
      <c r="CW190" s="264">
        <v>1</v>
      </c>
      <c r="CX190" s="264" t="s">
        <v>734</v>
      </c>
      <c r="CY190" s="264">
        <v>1</v>
      </c>
      <c r="CZ190" s="264"/>
      <c r="DA190" s="264"/>
      <c r="DB190" s="264"/>
      <c r="DC190" s="264">
        <v>1</v>
      </c>
      <c r="DD190" s="264"/>
      <c r="DE190" s="264"/>
      <c r="DF190" s="264">
        <v>1</v>
      </c>
      <c r="DG190" s="264"/>
      <c r="DH190" s="264"/>
      <c r="DI190" s="264"/>
      <c r="DJ190" s="264">
        <v>2</v>
      </c>
      <c r="DK190" s="264"/>
      <c r="DL190" s="264"/>
      <c r="DM190" s="264"/>
      <c r="DN190" s="264"/>
      <c r="DO190" s="264">
        <v>1</v>
      </c>
      <c r="DP190" s="264"/>
      <c r="DQ190" s="264" t="s">
        <v>651</v>
      </c>
      <c r="DR190" s="264"/>
      <c r="DS190" s="264" t="s">
        <v>650</v>
      </c>
      <c r="DT190" s="264"/>
      <c r="DU190" s="264" t="s">
        <v>650</v>
      </c>
      <c r="DV190" s="264"/>
      <c r="DW190" s="264" t="s">
        <v>650</v>
      </c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 t="s">
        <v>649</v>
      </c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 t="s">
        <v>652</v>
      </c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 t="s">
        <v>37</v>
      </c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 t="s">
        <v>653</v>
      </c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 t="s">
        <v>654</v>
      </c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 t="s">
        <v>649</v>
      </c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 t="s">
        <v>655</v>
      </c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 t="s">
        <v>37</v>
      </c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>
        <v>21</v>
      </c>
      <c r="D192" s="264"/>
      <c r="E192" s="264">
        <v>12</v>
      </c>
      <c r="F192" s="264"/>
      <c r="G192" s="264">
        <v>21</v>
      </c>
      <c r="H192" s="264"/>
      <c r="I192" s="264">
        <v>12</v>
      </c>
      <c r="J192" s="264"/>
      <c r="K192" s="264">
        <v>11</v>
      </c>
      <c r="L192" s="264"/>
      <c r="M192" s="264"/>
      <c r="N192" s="264" t="s">
        <v>671</v>
      </c>
      <c r="O192" s="264">
        <v>4</v>
      </c>
      <c r="P192" s="264"/>
      <c r="Q192" s="264">
        <v>1</v>
      </c>
      <c r="R192" s="264"/>
      <c r="S192" s="264">
        <v>1</v>
      </c>
      <c r="T192" s="264"/>
      <c r="U192" s="264" t="s">
        <v>657</v>
      </c>
      <c r="V192" s="264"/>
      <c r="W192" s="264"/>
      <c r="X192" s="264">
        <v>13</v>
      </c>
      <c r="Y192" s="264"/>
      <c r="Z192" s="264">
        <v>6</v>
      </c>
      <c r="AA192" s="264"/>
      <c r="AB192" s="264">
        <v>2</v>
      </c>
      <c r="AC192" s="264" t="s">
        <v>734</v>
      </c>
      <c r="AD192" s="264">
        <v>8</v>
      </c>
      <c r="AE192" s="264"/>
      <c r="AF192" s="264">
        <v>6</v>
      </c>
      <c r="AG192" s="264"/>
      <c r="AH192" s="264">
        <v>9</v>
      </c>
      <c r="AI192" s="264" t="s">
        <v>696</v>
      </c>
      <c r="AJ192" s="264">
        <v>7</v>
      </c>
      <c r="AK192" s="264"/>
      <c r="AL192" s="264">
        <v>1</v>
      </c>
      <c r="AM192" s="264"/>
      <c r="AN192" s="264">
        <v>5</v>
      </c>
      <c r="AO192" s="264"/>
      <c r="AP192" s="66">
        <v>43700</v>
      </c>
      <c r="AQ192" s="264">
        <v>1</v>
      </c>
      <c r="AR192" s="264"/>
      <c r="AS192" s="264">
        <v>4</v>
      </c>
      <c r="AT192" s="264"/>
      <c r="AU192" s="264" t="s">
        <v>924</v>
      </c>
      <c r="AV192" s="264">
        <v>1</v>
      </c>
      <c r="AW192" s="264"/>
      <c r="AX192" s="264">
        <v>1</v>
      </c>
      <c r="AY192" s="264"/>
      <c r="AZ192" s="66">
        <v>43532</v>
      </c>
      <c r="BA192" s="264">
        <v>9</v>
      </c>
      <c r="BB192" s="264"/>
      <c r="BC192" s="264" t="s">
        <v>734</v>
      </c>
      <c r="BD192" s="264">
        <v>7</v>
      </c>
      <c r="BE192" s="264"/>
      <c r="BF192" s="264" t="s">
        <v>725</v>
      </c>
      <c r="BG192" s="264">
        <v>7</v>
      </c>
      <c r="BH192" s="264"/>
      <c r="BI192" s="264" t="s">
        <v>725</v>
      </c>
      <c r="BJ192" s="264"/>
      <c r="BK192" s="264"/>
      <c r="BL192" s="264"/>
      <c r="BM192" s="264"/>
      <c r="BN192" s="264"/>
      <c r="BO192" s="264"/>
      <c r="BP192" s="264">
        <v>1</v>
      </c>
      <c r="BQ192" s="264"/>
      <c r="BR192" s="264"/>
      <c r="BS192" s="264"/>
      <c r="BT192" s="264"/>
      <c r="BU192" s="264"/>
      <c r="BV192" s="264"/>
      <c r="BW192" s="264"/>
      <c r="BX192" s="264"/>
      <c r="BY192" s="264">
        <v>1</v>
      </c>
      <c r="BZ192" s="264"/>
      <c r="CA192" s="264" t="s">
        <v>651</v>
      </c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>
        <v>6</v>
      </c>
      <c r="CV192" s="264">
        <v>3</v>
      </c>
      <c r="CW192" s="264">
        <v>8</v>
      </c>
      <c r="CX192" s="66">
        <v>43551</v>
      </c>
      <c r="CY192" s="264">
        <v>1</v>
      </c>
      <c r="CZ192" s="264"/>
      <c r="DA192" s="264"/>
      <c r="DB192" s="264"/>
      <c r="DC192" s="264"/>
      <c r="DD192" s="264"/>
      <c r="DE192" s="264"/>
      <c r="DF192" s="264"/>
      <c r="DG192" s="264"/>
      <c r="DH192" s="264">
        <v>1</v>
      </c>
      <c r="DI192" s="264"/>
      <c r="DJ192" s="264"/>
      <c r="DK192" s="264"/>
      <c r="DL192" s="264"/>
      <c r="DM192" s="264"/>
      <c r="DN192" s="264"/>
      <c r="DO192" s="264">
        <v>1</v>
      </c>
      <c r="DP192" s="264"/>
      <c r="DQ192" s="264" t="s">
        <v>651</v>
      </c>
      <c r="DR192" s="264">
        <v>3</v>
      </c>
      <c r="DS192" s="264"/>
      <c r="DT192" s="264">
        <v>1</v>
      </c>
      <c r="DU192" s="264"/>
      <c r="DV192" s="264">
        <v>1</v>
      </c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>
        <v>2</v>
      </c>
      <c r="ER192" s="264"/>
      <c r="ES192" s="264">
        <v>2</v>
      </c>
      <c r="ET192" s="264"/>
      <c r="EU192" s="264"/>
    </row>
    <row r="193" spans="1:151">
      <c r="A193" s="160"/>
      <c r="B193" s="1" t="s">
        <v>488</v>
      </c>
      <c r="C193" s="264">
        <v>11</v>
      </c>
      <c r="D193" s="264" t="s">
        <v>1060</v>
      </c>
      <c r="E193" s="264">
        <v>10</v>
      </c>
      <c r="F193" s="264" t="s">
        <v>692</v>
      </c>
      <c r="G193" s="264">
        <v>11</v>
      </c>
      <c r="H193" s="264" t="s">
        <v>1060</v>
      </c>
      <c r="I193" s="264">
        <v>10</v>
      </c>
      <c r="J193" s="264" t="s">
        <v>692</v>
      </c>
      <c r="K193" s="264">
        <v>7</v>
      </c>
      <c r="L193" s="264" t="s">
        <v>724</v>
      </c>
      <c r="M193" s="264"/>
      <c r="N193" s="264" t="s">
        <v>972</v>
      </c>
      <c r="O193" s="264">
        <v>1</v>
      </c>
      <c r="P193" s="264" t="s">
        <v>728</v>
      </c>
      <c r="Q193" s="264">
        <v>1</v>
      </c>
      <c r="R193" s="264"/>
      <c r="S193" s="264">
        <v>1</v>
      </c>
      <c r="T193" s="264"/>
      <c r="U193" s="264" t="s">
        <v>657</v>
      </c>
      <c r="V193" s="264"/>
      <c r="W193" s="264"/>
      <c r="X193" s="264">
        <v>7</v>
      </c>
      <c r="Y193" s="264" t="s">
        <v>846</v>
      </c>
      <c r="Z193" s="264">
        <v>4</v>
      </c>
      <c r="AA193" s="264" t="s">
        <v>677</v>
      </c>
      <c r="AB193" s="264">
        <v>3</v>
      </c>
      <c r="AC193" s="264" t="s">
        <v>744</v>
      </c>
      <c r="AD193" s="264">
        <v>4</v>
      </c>
      <c r="AE193" s="264" t="s">
        <v>678</v>
      </c>
      <c r="AF193" s="264">
        <v>6</v>
      </c>
      <c r="AG193" s="264"/>
      <c r="AH193" s="264">
        <v>4</v>
      </c>
      <c r="AI193" s="264" t="s">
        <v>676</v>
      </c>
      <c r="AJ193" s="264">
        <v>1</v>
      </c>
      <c r="AK193" s="264" t="s">
        <v>752</v>
      </c>
      <c r="AL193" s="264"/>
      <c r="AM193" s="264" t="s">
        <v>650</v>
      </c>
      <c r="AN193" s="264">
        <v>5</v>
      </c>
      <c r="AO193" s="264"/>
      <c r="AP193" s="264" t="s">
        <v>801</v>
      </c>
      <c r="AQ193" s="264">
        <v>1</v>
      </c>
      <c r="AR193" s="264"/>
      <c r="AS193" s="264">
        <v>3</v>
      </c>
      <c r="AT193" s="264" t="s">
        <v>672</v>
      </c>
      <c r="AU193" s="66">
        <v>43551</v>
      </c>
      <c r="AV193" s="264"/>
      <c r="AW193" s="264" t="s">
        <v>650</v>
      </c>
      <c r="AX193" s="264"/>
      <c r="AY193" s="264" t="s">
        <v>650</v>
      </c>
      <c r="AZ193" s="264"/>
      <c r="BA193" s="264">
        <v>5</v>
      </c>
      <c r="BB193" s="264" t="s">
        <v>754</v>
      </c>
      <c r="BC193" s="264" t="s">
        <v>657</v>
      </c>
      <c r="BD193" s="264">
        <v>2</v>
      </c>
      <c r="BE193" s="264" t="s">
        <v>703</v>
      </c>
      <c r="BF193" s="264" t="s">
        <v>690</v>
      </c>
      <c r="BG193" s="264">
        <v>4</v>
      </c>
      <c r="BH193" s="264" t="s">
        <v>904</v>
      </c>
      <c r="BI193" s="264" t="s">
        <v>696</v>
      </c>
      <c r="BJ193" s="264">
        <v>1</v>
      </c>
      <c r="BK193" s="264" t="s">
        <v>651</v>
      </c>
      <c r="BL193" s="264" t="s">
        <v>704</v>
      </c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>
        <v>1</v>
      </c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>
        <v>2</v>
      </c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>
        <v>1</v>
      </c>
      <c r="CW193" s="264">
        <v>4</v>
      </c>
      <c r="CX193" s="264" t="s">
        <v>690</v>
      </c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>
        <v>1</v>
      </c>
      <c r="DO193" s="264"/>
      <c r="DP193" s="264"/>
      <c r="DQ193" s="264"/>
      <c r="DR193" s="264">
        <v>1</v>
      </c>
      <c r="DS193" s="264" t="s">
        <v>743</v>
      </c>
      <c r="DT193" s="264">
        <v>1</v>
      </c>
      <c r="DU193" s="264"/>
      <c r="DV193" s="264"/>
      <c r="DW193" s="264" t="s">
        <v>650</v>
      </c>
      <c r="DX193" s="264">
        <v>1</v>
      </c>
      <c r="DY193" s="264" t="s">
        <v>651</v>
      </c>
      <c r="DZ193" s="264">
        <v>1</v>
      </c>
      <c r="EA193" s="264" t="s">
        <v>651</v>
      </c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>
        <v>1</v>
      </c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 t="s">
        <v>649</v>
      </c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 t="s">
        <v>652</v>
      </c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 t="s">
        <v>37</v>
      </c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 t="s">
        <v>653</v>
      </c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 t="s">
        <v>654</v>
      </c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 t="s">
        <v>649</v>
      </c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 t="s">
        <v>655</v>
      </c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 t="s">
        <v>37</v>
      </c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>
        <v>507</v>
      </c>
      <c r="D195" s="264"/>
      <c r="E195" s="264">
        <v>345</v>
      </c>
      <c r="F195" s="264"/>
      <c r="G195" s="264">
        <v>507</v>
      </c>
      <c r="H195" s="264"/>
      <c r="I195" s="264">
        <v>345</v>
      </c>
      <c r="J195" s="264"/>
      <c r="K195" s="264">
        <v>121</v>
      </c>
      <c r="L195" s="264"/>
      <c r="M195" s="264"/>
      <c r="N195" s="264" t="s">
        <v>799</v>
      </c>
      <c r="O195" s="264">
        <v>110</v>
      </c>
      <c r="P195" s="264"/>
      <c r="Q195" s="264">
        <v>78</v>
      </c>
      <c r="R195" s="264"/>
      <c r="S195" s="264">
        <v>29</v>
      </c>
      <c r="T195" s="264"/>
      <c r="U195" s="264" t="s">
        <v>957</v>
      </c>
      <c r="V195" s="264">
        <v>7</v>
      </c>
      <c r="W195" s="264" t="s">
        <v>843</v>
      </c>
      <c r="X195" s="264">
        <v>252</v>
      </c>
      <c r="Y195" s="264"/>
      <c r="Z195" s="264">
        <v>195</v>
      </c>
      <c r="AA195" s="264"/>
      <c r="AB195" s="264">
        <v>43</v>
      </c>
      <c r="AC195" s="264" t="s">
        <v>869</v>
      </c>
      <c r="AD195" s="264">
        <v>255</v>
      </c>
      <c r="AE195" s="264"/>
      <c r="AF195" s="264">
        <v>150</v>
      </c>
      <c r="AG195" s="264"/>
      <c r="AH195" s="264">
        <v>78</v>
      </c>
      <c r="AI195" s="264" t="s">
        <v>806</v>
      </c>
      <c r="AJ195" s="264">
        <v>87</v>
      </c>
      <c r="AK195" s="264"/>
      <c r="AL195" s="264">
        <v>2</v>
      </c>
      <c r="AM195" s="264"/>
      <c r="AN195" s="264">
        <v>123</v>
      </c>
      <c r="AO195" s="264"/>
      <c r="AP195" s="66">
        <v>43548</v>
      </c>
      <c r="AQ195" s="264">
        <v>17</v>
      </c>
      <c r="AR195" s="264"/>
      <c r="AS195" s="264">
        <v>67</v>
      </c>
      <c r="AT195" s="264"/>
      <c r="AU195" s="66">
        <v>43509</v>
      </c>
      <c r="AV195" s="264">
        <v>57</v>
      </c>
      <c r="AW195" s="264"/>
      <c r="AX195" s="264">
        <v>15</v>
      </c>
      <c r="AY195" s="264"/>
      <c r="AZ195" s="66">
        <v>43528</v>
      </c>
      <c r="BA195" s="264">
        <v>193</v>
      </c>
      <c r="BB195" s="264"/>
      <c r="BC195" s="264" t="s">
        <v>1214</v>
      </c>
      <c r="BD195" s="264">
        <v>167</v>
      </c>
      <c r="BE195" s="264"/>
      <c r="BF195" s="264" t="s">
        <v>928</v>
      </c>
      <c r="BG195" s="264">
        <v>212</v>
      </c>
      <c r="BH195" s="264"/>
      <c r="BI195" s="264" t="s">
        <v>711</v>
      </c>
      <c r="BJ195" s="264">
        <v>12</v>
      </c>
      <c r="BK195" s="264"/>
      <c r="BL195" s="66">
        <v>43588</v>
      </c>
      <c r="BM195" s="264">
        <v>7</v>
      </c>
      <c r="BN195" s="264" t="s">
        <v>725</v>
      </c>
      <c r="BO195" s="264">
        <v>3</v>
      </c>
      <c r="BP195" s="264">
        <v>7</v>
      </c>
      <c r="BQ195" s="264">
        <v>5</v>
      </c>
      <c r="BR195" s="264"/>
      <c r="BS195" s="264" t="s">
        <v>651</v>
      </c>
      <c r="BT195" s="264"/>
      <c r="BU195" s="264">
        <v>1</v>
      </c>
      <c r="BV195" s="264"/>
      <c r="BW195" s="264" t="s">
        <v>651</v>
      </c>
      <c r="BX195" s="264">
        <v>11</v>
      </c>
      <c r="BY195" s="264">
        <v>10</v>
      </c>
      <c r="BZ195" s="264"/>
      <c r="CA195" s="264" t="s">
        <v>651</v>
      </c>
      <c r="CB195" s="264">
        <v>2</v>
      </c>
      <c r="CC195" s="264"/>
      <c r="CD195" s="264"/>
      <c r="CE195" s="264"/>
      <c r="CF195" s="264">
        <v>1</v>
      </c>
      <c r="CG195" s="264">
        <v>7</v>
      </c>
      <c r="CH195" s="264"/>
      <c r="CI195" s="264" t="s">
        <v>651</v>
      </c>
      <c r="CJ195" s="264">
        <v>13</v>
      </c>
      <c r="CK195" s="264">
        <v>7</v>
      </c>
      <c r="CL195" s="264">
        <v>1</v>
      </c>
      <c r="CM195" s="264" t="s">
        <v>720</v>
      </c>
      <c r="CN195" s="264"/>
      <c r="CO195" s="264"/>
      <c r="CP195" s="264"/>
      <c r="CQ195" s="264">
        <v>2</v>
      </c>
      <c r="CR195" s="264">
        <v>1</v>
      </c>
      <c r="CS195" s="264"/>
      <c r="CT195" s="264" t="s">
        <v>651</v>
      </c>
      <c r="CU195" s="264">
        <v>168</v>
      </c>
      <c r="CV195" s="264">
        <v>96</v>
      </c>
      <c r="CW195" s="264">
        <v>72</v>
      </c>
      <c r="CX195" s="264" t="s">
        <v>744</v>
      </c>
      <c r="CY195" s="264">
        <v>17</v>
      </c>
      <c r="CZ195" s="264">
        <v>6</v>
      </c>
      <c r="DA195" s="264">
        <v>6</v>
      </c>
      <c r="DB195" s="264" t="s">
        <v>657</v>
      </c>
      <c r="DC195" s="264">
        <v>2</v>
      </c>
      <c r="DD195" s="264">
        <v>2</v>
      </c>
      <c r="DE195" s="264"/>
      <c r="DF195" s="264">
        <v>23</v>
      </c>
      <c r="DG195" s="264">
        <v>7</v>
      </c>
      <c r="DH195" s="264">
        <v>18</v>
      </c>
      <c r="DI195" s="264" t="s">
        <v>1000</v>
      </c>
      <c r="DJ195" s="264"/>
      <c r="DK195" s="264"/>
      <c r="DL195" s="264"/>
      <c r="DM195" s="264"/>
      <c r="DN195" s="264">
        <v>7</v>
      </c>
      <c r="DO195" s="264">
        <v>11</v>
      </c>
      <c r="DP195" s="264">
        <v>1</v>
      </c>
      <c r="DQ195" s="264" t="s">
        <v>777</v>
      </c>
      <c r="DR195" s="264">
        <v>22</v>
      </c>
      <c r="DS195" s="264"/>
      <c r="DT195" s="264">
        <v>17</v>
      </c>
      <c r="DU195" s="264"/>
      <c r="DV195" s="264">
        <v>11</v>
      </c>
      <c r="DW195" s="264"/>
      <c r="DX195" s="264">
        <v>15</v>
      </c>
      <c r="DY195" s="264"/>
      <c r="DZ195" s="264">
        <v>15</v>
      </c>
      <c r="EA195" s="264"/>
      <c r="EB195" s="264">
        <v>14</v>
      </c>
      <c r="EC195" s="264"/>
      <c r="ED195" s="264" t="s">
        <v>751</v>
      </c>
      <c r="EE195" s="264">
        <v>3</v>
      </c>
      <c r="EF195" s="264"/>
      <c r="EG195" s="264"/>
      <c r="EH195" s="264"/>
      <c r="EI195" s="264">
        <v>1</v>
      </c>
      <c r="EJ195" s="264"/>
      <c r="EK195" s="264"/>
      <c r="EL195" s="264"/>
      <c r="EM195" s="264"/>
      <c r="EN195" s="264"/>
      <c r="EO195" s="264"/>
      <c r="EP195" s="264"/>
      <c r="EQ195" s="264">
        <v>5</v>
      </c>
      <c r="ER195" s="264"/>
      <c r="ES195" s="264">
        <v>2</v>
      </c>
      <c r="ET195" s="264"/>
      <c r="EU195" s="264"/>
    </row>
    <row r="196" spans="1:151">
      <c r="A196" s="160"/>
      <c r="B196" s="264" t="s">
        <v>415</v>
      </c>
      <c r="C196" s="264">
        <v>454</v>
      </c>
      <c r="D196" s="264" t="s">
        <v>784</v>
      </c>
      <c r="E196" s="264">
        <v>313</v>
      </c>
      <c r="F196" s="264" t="s">
        <v>778</v>
      </c>
      <c r="G196" s="264">
        <v>454</v>
      </c>
      <c r="H196" s="264" t="s">
        <v>784</v>
      </c>
      <c r="I196" s="264">
        <v>313</v>
      </c>
      <c r="J196" s="264" t="s">
        <v>778</v>
      </c>
      <c r="K196" s="264">
        <v>94</v>
      </c>
      <c r="L196" s="264" t="s">
        <v>1350</v>
      </c>
      <c r="M196" s="264">
        <v>1</v>
      </c>
      <c r="N196" s="264" t="s">
        <v>1009</v>
      </c>
      <c r="O196" s="264">
        <v>87</v>
      </c>
      <c r="P196" s="264" t="s">
        <v>1071</v>
      </c>
      <c r="Q196" s="264">
        <v>59</v>
      </c>
      <c r="R196" s="264" t="s">
        <v>1416</v>
      </c>
      <c r="S196" s="264">
        <v>16</v>
      </c>
      <c r="T196" s="264" t="s">
        <v>1284</v>
      </c>
      <c r="U196" s="264" t="s">
        <v>1303</v>
      </c>
      <c r="V196" s="264">
        <v>1</v>
      </c>
      <c r="W196" s="264" t="s">
        <v>1437</v>
      </c>
      <c r="X196" s="264">
        <v>232</v>
      </c>
      <c r="Y196" s="264" t="s">
        <v>1436</v>
      </c>
      <c r="Z196" s="264">
        <v>181</v>
      </c>
      <c r="AA196" s="264" t="s">
        <v>1215</v>
      </c>
      <c r="AB196" s="264">
        <v>47</v>
      </c>
      <c r="AC196" s="264" t="s">
        <v>1293</v>
      </c>
      <c r="AD196" s="264">
        <v>222</v>
      </c>
      <c r="AE196" s="264" t="s">
        <v>1397</v>
      </c>
      <c r="AF196" s="264">
        <v>132</v>
      </c>
      <c r="AG196" s="264" t="s">
        <v>1353</v>
      </c>
      <c r="AH196" s="264">
        <v>47</v>
      </c>
      <c r="AI196" s="264" t="s">
        <v>867</v>
      </c>
      <c r="AJ196" s="264">
        <v>75</v>
      </c>
      <c r="AK196" s="264" t="s">
        <v>1032</v>
      </c>
      <c r="AL196" s="264">
        <v>2</v>
      </c>
      <c r="AM196" s="264"/>
      <c r="AN196" s="264">
        <v>123</v>
      </c>
      <c r="AO196" s="264"/>
      <c r="AP196" s="66">
        <v>43492</v>
      </c>
      <c r="AQ196" s="264">
        <v>15</v>
      </c>
      <c r="AR196" s="264" t="s">
        <v>1007</v>
      </c>
      <c r="AS196" s="264">
        <v>72</v>
      </c>
      <c r="AT196" s="66">
        <v>43592</v>
      </c>
      <c r="AU196" s="66">
        <v>43723</v>
      </c>
      <c r="AV196" s="264">
        <v>43</v>
      </c>
      <c r="AW196" s="264" t="s">
        <v>1078</v>
      </c>
      <c r="AX196" s="264">
        <v>13</v>
      </c>
      <c r="AY196" s="264" t="s">
        <v>668</v>
      </c>
      <c r="AZ196" s="66">
        <v>43500</v>
      </c>
      <c r="BA196" s="264">
        <v>161</v>
      </c>
      <c r="BB196" s="264" t="s">
        <v>1415</v>
      </c>
      <c r="BC196" s="264" t="s">
        <v>735</v>
      </c>
      <c r="BD196" s="264">
        <v>128</v>
      </c>
      <c r="BE196" s="264" t="s">
        <v>1419</v>
      </c>
      <c r="BF196" s="264" t="s">
        <v>1047</v>
      </c>
      <c r="BG196" s="264">
        <v>180</v>
      </c>
      <c r="BH196" s="264" t="s">
        <v>1298</v>
      </c>
      <c r="BI196" s="264" t="s">
        <v>999</v>
      </c>
      <c r="BJ196" s="264">
        <v>16</v>
      </c>
      <c r="BK196" s="264" t="s">
        <v>714</v>
      </c>
      <c r="BL196" s="66">
        <v>43470</v>
      </c>
      <c r="BM196" s="264">
        <v>14</v>
      </c>
      <c r="BN196" s="264" t="s">
        <v>720</v>
      </c>
      <c r="BO196" s="264"/>
      <c r="BP196" s="264">
        <v>4</v>
      </c>
      <c r="BQ196" s="264">
        <v>9</v>
      </c>
      <c r="BR196" s="264">
        <v>1</v>
      </c>
      <c r="BS196" s="264" t="s">
        <v>749</v>
      </c>
      <c r="BT196" s="264"/>
      <c r="BU196" s="264"/>
      <c r="BV196" s="264"/>
      <c r="BW196" s="264"/>
      <c r="BX196" s="264">
        <v>10</v>
      </c>
      <c r="BY196" s="264">
        <v>8</v>
      </c>
      <c r="BZ196" s="264">
        <v>1</v>
      </c>
      <c r="CA196" s="264" t="s">
        <v>675</v>
      </c>
      <c r="CB196" s="264"/>
      <c r="CC196" s="264">
        <v>3</v>
      </c>
      <c r="CD196" s="264">
        <v>1</v>
      </c>
      <c r="CE196" s="264" t="s">
        <v>734</v>
      </c>
      <c r="CF196" s="264">
        <v>3</v>
      </c>
      <c r="CG196" s="264"/>
      <c r="CH196" s="264"/>
      <c r="CI196" s="264"/>
      <c r="CJ196" s="264">
        <v>10</v>
      </c>
      <c r="CK196" s="264">
        <v>5</v>
      </c>
      <c r="CL196" s="264">
        <v>1</v>
      </c>
      <c r="CM196" s="264" t="s">
        <v>674</v>
      </c>
      <c r="CN196" s="264"/>
      <c r="CO196" s="264"/>
      <c r="CP196" s="264"/>
      <c r="CQ196" s="264">
        <v>1</v>
      </c>
      <c r="CR196" s="264"/>
      <c r="CS196" s="264"/>
      <c r="CT196" s="264"/>
      <c r="CU196" s="264">
        <v>128</v>
      </c>
      <c r="CV196" s="264">
        <v>87</v>
      </c>
      <c r="CW196" s="264">
        <v>46</v>
      </c>
      <c r="CX196" s="264" t="s">
        <v>1290</v>
      </c>
      <c r="CY196" s="264">
        <v>8</v>
      </c>
      <c r="CZ196" s="264">
        <v>1</v>
      </c>
      <c r="DA196" s="264"/>
      <c r="DB196" s="264" t="s">
        <v>651</v>
      </c>
      <c r="DC196" s="264">
        <v>3</v>
      </c>
      <c r="DD196" s="264">
        <v>1</v>
      </c>
      <c r="DE196" s="264"/>
      <c r="DF196" s="264">
        <v>37</v>
      </c>
      <c r="DG196" s="264">
        <v>11</v>
      </c>
      <c r="DH196" s="264">
        <v>16</v>
      </c>
      <c r="DI196" s="264" t="s">
        <v>856</v>
      </c>
      <c r="DJ196" s="264">
        <v>2</v>
      </c>
      <c r="DK196" s="264">
        <v>1</v>
      </c>
      <c r="DL196" s="264">
        <v>1</v>
      </c>
      <c r="DM196" s="264" t="s">
        <v>657</v>
      </c>
      <c r="DN196" s="264">
        <v>10</v>
      </c>
      <c r="DO196" s="264">
        <v>8</v>
      </c>
      <c r="DP196" s="264">
        <v>1</v>
      </c>
      <c r="DQ196" s="264" t="s">
        <v>675</v>
      </c>
      <c r="DR196" s="264">
        <v>16</v>
      </c>
      <c r="DS196" s="264" t="s">
        <v>851</v>
      </c>
      <c r="DT196" s="264">
        <v>13</v>
      </c>
      <c r="DU196" s="264" t="s">
        <v>833</v>
      </c>
      <c r="DV196" s="264">
        <v>4</v>
      </c>
      <c r="DW196" s="264" t="s">
        <v>1363</v>
      </c>
      <c r="DX196" s="264">
        <v>11</v>
      </c>
      <c r="DY196" s="264" t="s">
        <v>883</v>
      </c>
      <c r="DZ196" s="264">
        <v>11</v>
      </c>
      <c r="EA196" s="264" t="s">
        <v>883</v>
      </c>
      <c r="EB196" s="264">
        <v>4</v>
      </c>
      <c r="EC196" s="264" t="s">
        <v>703</v>
      </c>
      <c r="ED196" s="66">
        <v>43687</v>
      </c>
      <c r="EE196" s="264">
        <v>9</v>
      </c>
      <c r="EF196" s="264">
        <v>1</v>
      </c>
      <c r="EG196" s="264"/>
      <c r="EH196" s="264"/>
      <c r="EI196" s="264"/>
      <c r="EJ196" s="264"/>
      <c r="EK196" s="264"/>
      <c r="EL196" s="264"/>
      <c r="EM196" s="264"/>
      <c r="EN196" s="264">
        <v>2</v>
      </c>
      <c r="EO196" s="264">
        <v>1</v>
      </c>
      <c r="EP196" s="264"/>
      <c r="EQ196" s="264">
        <v>3</v>
      </c>
      <c r="ER196" s="264"/>
      <c r="ES196" s="264"/>
      <c r="ET196" s="264"/>
      <c r="EU196" s="264"/>
    </row>
    <row r="197" spans="1:151">
      <c r="A197" s="160"/>
      <c r="B197" s="1" t="s">
        <v>1</v>
      </c>
      <c r="C197" s="264" t="s">
        <v>649</v>
      </c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 t="s">
        <v>652</v>
      </c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 t="s">
        <v>37</v>
      </c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 t="s">
        <v>653</v>
      </c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 t="s">
        <v>654</v>
      </c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 t="s">
        <v>649</v>
      </c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 t="s">
        <v>655</v>
      </c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 t="s">
        <v>37</v>
      </c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>
        <v>21</v>
      </c>
      <c r="D198" s="264"/>
      <c r="E198" s="264">
        <v>16</v>
      </c>
      <c r="F198" s="264"/>
      <c r="G198" s="264">
        <v>21</v>
      </c>
      <c r="H198" s="264"/>
      <c r="I198" s="264">
        <v>16</v>
      </c>
      <c r="J198" s="264"/>
      <c r="K198" s="264">
        <v>10</v>
      </c>
      <c r="L198" s="264"/>
      <c r="M198" s="264"/>
      <c r="N198" s="264" t="s">
        <v>880</v>
      </c>
      <c r="O198" s="264">
        <v>6</v>
      </c>
      <c r="P198" s="264"/>
      <c r="Q198" s="264">
        <v>1</v>
      </c>
      <c r="R198" s="264"/>
      <c r="S198" s="264">
        <v>1</v>
      </c>
      <c r="T198" s="264"/>
      <c r="U198" s="264" t="s">
        <v>657</v>
      </c>
      <c r="V198" s="264"/>
      <c r="W198" s="264"/>
      <c r="X198" s="264">
        <v>12</v>
      </c>
      <c r="Y198" s="264"/>
      <c r="Z198" s="264">
        <v>7</v>
      </c>
      <c r="AA198" s="264"/>
      <c r="AB198" s="264">
        <v>2</v>
      </c>
      <c r="AC198" s="264" t="s">
        <v>1006</v>
      </c>
      <c r="AD198" s="264">
        <v>9</v>
      </c>
      <c r="AE198" s="264"/>
      <c r="AF198" s="264">
        <v>9</v>
      </c>
      <c r="AG198" s="264"/>
      <c r="AH198" s="264">
        <v>8</v>
      </c>
      <c r="AI198" s="264" t="s">
        <v>965</v>
      </c>
      <c r="AJ198" s="264">
        <v>5</v>
      </c>
      <c r="AK198" s="264"/>
      <c r="AL198" s="264"/>
      <c r="AM198" s="264"/>
      <c r="AN198" s="264">
        <v>4</v>
      </c>
      <c r="AO198" s="264"/>
      <c r="AP198" s="264" t="s">
        <v>924</v>
      </c>
      <c r="AQ198" s="264">
        <v>2</v>
      </c>
      <c r="AR198" s="264"/>
      <c r="AS198" s="264">
        <v>4</v>
      </c>
      <c r="AT198" s="264"/>
      <c r="AU198" s="264" t="s">
        <v>924</v>
      </c>
      <c r="AV198" s="264">
        <v>4</v>
      </c>
      <c r="AW198" s="264"/>
      <c r="AX198" s="264">
        <v>1</v>
      </c>
      <c r="AY198" s="264"/>
      <c r="AZ198" s="66">
        <v>43530</v>
      </c>
      <c r="BA198" s="264">
        <v>12</v>
      </c>
      <c r="BB198" s="264"/>
      <c r="BC198" s="264" t="s">
        <v>734</v>
      </c>
      <c r="BD198" s="264">
        <v>7</v>
      </c>
      <c r="BE198" s="264"/>
      <c r="BF198" s="264" t="s">
        <v>976</v>
      </c>
      <c r="BG198" s="264">
        <v>8</v>
      </c>
      <c r="BH198" s="264"/>
      <c r="BI198" s="264" t="s">
        <v>657</v>
      </c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>
        <v>2</v>
      </c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>
        <v>4</v>
      </c>
      <c r="CV198" s="264">
        <v>5</v>
      </c>
      <c r="CW198" s="264">
        <v>4</v>
      </c>
      <c r="CX198" s="264" t="s">
        <v>727</v>
      </c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>
        <v>2</v>
      </c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>
        <v>1</v>
      </c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>
        <v>1</v>
      </c>
      <c r="ER198" s="264"/>
      <c r="ES198" s="264"/>
      <c r="ET198" s="264">
        <v>1</v>
      </c>
      <c r="EU198" s="264"/>
    </row>
    <row r="199" spans="1:151">
      <c r="A199" s="160"/>
      <c r="B199" s="264" t="s">
        <v>416</v>
      </c>
      <c r="C199" s="264">
        <v>38</v>
      </c>
      <c r="D199" s="264" t="s">
        <v>825</v>
      </c>
      <c r="E199" s="264">
        <v>16</v>
      </c>
      <c r="F199" s="264"/>
      <c r="G199" s="264">
        <v>38</v>
      </c>
      <c r="H199" s="264" t="s">
        <v>825</v>
      </c>
      <c r="I199" s="264">
        <v>16</v>
      </c>
      <c r="J199" s="264"/>
      <c r="K199" s="264">
        <v>7</v>
      </c>
      <c r="L199" s="264" t="s">
        <v>757</v>
      </c>
      <c r="M199" s="264"/>
      <c r="N199" s="264" t="s">
        <v>1372</v>
      </c>
      <c r="O199" s="264">
        <v>11</v>
      </c>
      <c r="P199" s="264" t="s">
        <v>674</v>
      </c>
      <c r="Q199" s="264">
        <v>7</v>
      </c>
      <c r="R199" s="264" t="s">
        <v>1030</v>
      </c>
      <c r="S199" s="264">
        <v>4</v>
      </c>
      <c r="T199" s="264" t="s">
        <v>731</v>
      </c>
      <c r="U199" s="264" t="s">
        <v>824</v>
      </c>
      <c r="V199" s="264"/>
      <c r="W199" s="264"/>
      <c r="X199" s="264">
        <v>19</v>
      </c>
      <c r="Y199" s="264" t="s">
        <v>725</v>
      </c>
      <c r="Z199" s="264">
        <v>9</v>
      </c>
      <c r="AA199" s="66">
        <v>43644</v>
      </c>
      <c r="AB199" s="264"/>
      <c r="AC199" s="264" t="s">
        <v>651</v>
      </c>
      <c r="AD199" s="264">
        <v>19</v>
      </c>
      <c r="AE199" s="264" t="s">
        <v>1455</v>
      </c>
      <c r="AF199" s="264">
        <v>7</v>
      </c>
      <c r="AG199" s="264" t="s">
        <v>782</v>
      </c>
      <c r="AH199" s="264">
        <v>7</v>
      </c>
      <c r="AI199" s="264" t="s">
        <v>657</v>
      </c>
      <c r="AJ199" s="264">
        <v>13</v>
      </c>
      <c r="AK199" s="264" t="s">
        <v>881</v>
      </c>
      <c r="AL199" s="264"/>
      <c r="AM199" s="264"/>
      <c r="AN199" s="264">
        <v>4</v>
      </c>
      <c r="AO199" s="264"/>
      <c r="AP199" s="66">
        <v>43595</v>
      </c>
      <c r="AQ199" s="264"/>
      <c r="AR199" s="264" t="s">
        <v>650</v>
      </c>
      <c r="AS199" s="264">
        <v>3</v>
      </c>
      <c r="AT199" s="264" t="s">
        <v>672</v>
      </c>
      <c r="AU199" s="66">
        <v>43715</v>
      </c>
      <c r="AV199" s="264">
        <v>6</v>
      </c>
      <c r="AW199" s="264" t="s">
        <v>657</v>
      </c>
      <c r="AX199" s="264"/>
      <c r="AY199" s="264" t="s">
        <v>650</v>
      </c>
      <c r="AZ199" s="264"/>
      <c r="BA199" s="264">
        <v>14</v>
      </c>
      <c r="BB199" s="66">
        <v>43662</v>
      </c>
      <c r="BC199" s="264" t="s">
        <v>720</v>
      </c>
      <c r="BD199" s="264">
        <v>8</v>
      </c>
      <c r="BE199" s="66">
        <v>43538</v>
      </c>
      <c r="BF199" s="264" t="s">
        <v>657</v>
      </c>
      <c r="BG199" s="264">
        <v>8</v>
      </c>
      <c r="BH199" s="264"/>
      <c r="BI199" s="264" t="s">
        <v>657</v>
      </c>
      <c r="BJ199" s="264">
        <v>2</v>
      </c>
      <c r="BK199" s="264" t="s">
        <v>651</v>
      </c>
      <c r="BL199" s="66">
        <v>43597</v>
      </c>
      <c r="BM199" s="264">
        <v>2</v>
      </c>
      <c r="BN199" s="264" t="s">
        <v>651</v>
      </c>
      <c r="BO199" s="264"/>
      <c r="BP199" s="264">
        <v>1</v>
      </c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>
        <v>1</v>
      </c>
      <c r="CL199" s="264"/>
      <c r="CM199" s="264" t="s">
        <v>651</v>
      </c>
      <c r="CN199" s="264"/>
      <c r="CO199" s="264"/>
      <c r="CP199" s="264"/>
      <c r="CQ199" s="264">
        <v>1</v>
      </c>
      <c r="CR199" s="264"/>
      <c r="CS199" s="264"/>
      <c r="CT199" s="264"/>
      <c r="CU199" s="264">
        <v>10</v>
      </c>
      <c r="CV199" s="264">
        <v>3</v>
      </c>
      <c r="CW199" s="264">
        <v>3</v>
      </c>
      <c r="CX199" s="264" t="s">
        <v>657</v>
      </c>
      <c r="CY199" s="264">
        <v>2</v>
      </c>
      <c r="CZ199" s="264">
        <v>2</v>
      </c>
      <c r="DA199" s="264"/>
      <c r="DB199" s="264" t="s">
        <v>651</v>
      </c>
      <c r="DC199" s="264"/>
      <c r="DD199" s="264"/>
      <c r="DE199" s="264"/>
      <c r="DF199" s="264">
        <v>2</v>
      </c>
      <c r="DG199" s="264">
        <v>1</v>
      </c>
      <c r="DH199" s="264"/>
      <c r="DI199" s="264" t="s">
        <v>651</v>
      </c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 t="s">
        <v>650</v>
      </c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 t="s">
        <v>649</v>
      </c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 t="s">
        <v>652</v>
      </c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 t="s">
        <v>37</v>
      </c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 t="s">
        <v>653</v>
      </c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 t="s">
        <v>654</v>
      </c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 t="s">
        <v>649</v>
      </c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 t="s">
        <v>655</v>
      </c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 t="s">
        <v>37</v>
      </c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>
        <v>48</v>
      </c>
      <c r="D201" s="264"/>
      <c r="E201" s="264">
        <v>44</v>
      </c>
      <c r="F201" s="264"/>
      <c r="G201" s="264">
        <v>48</v>
      </c>
      <c r="H201" s="264"/>
      <c r="I201" s="264">
        <v>44</v>
      </c>
      <c r="J201" s="264"/>
      <c r="K201" s="264">
        <v>7</v>
      </c>
      <c r="L201" s="264"/>
      <c r="M201" s="264"/>
      <c r="N201" s="264" t="s">
        <v>1107</v>
      </c>
      <c r="O201" s="264">
        <v>14</v>
      </c>
      <c r="P201" s="264"/>
      <c r="Q201" s="264">
        <v>6</v>
      </c>
      <c r="R201" s="264"/>
      <c r="S201" s="264">
        <v>1</v>
      </c>
      <c r="T201" s="264"/>
      <c r="U201" s="264" t="s">
        <v>660</v>
      </c>
      <c r="V201" s="264"/>
      <c r="W201" s="264"/>
      <c r="X201" s="264">
        <v>25</v>
      </c>
      <c r="Y201" s="264"/>
      <c r="Z201" s="264">
        <v>30</v>
      </c>
      <c r="AA201" s="264"/>
      <c r="AB201" s="264">
        <v>1</v>
      </c>
      <c r="AC201" s="264" t="s">
        <v>1115</v>
      </c>
      <c r="AD201" s="264">
        <v>23</v>
      </c>
      <c r="AE201" s="264"/>
      <c r="AF201" s="264">
        <v>14</v>
      </c>
      <c r="AG201" s="264"/>
      <c r="AH201" s="264">
        <v>6</v>
      </c>
      <c r="AI201" s="264" t="s">
        <v>751</v>
      </c>
      <c r="AJ201" s="264">
        <v>14</v>
      </c>
      <c r="AK201" s="264"/>
      <c r="AL201" s="264"/>
      <c r="AM201" s="264"/>
      <c r="AN201" s="264">
        <v>15</v>
      </c>
      <c r="AO201" s="264"/>
      <c r="AP201" s="66">
        <v>43555</v>
      </c>
      <c r="AQ201" s="264">
        <v>6</v>
      </c>
      <c r="AR201" s="264"/>
      <c r="AS201" s="264">
        <v>10</v>
      </c>
      <c r="AT201" s="264"/>
      <c r="AU201" s="66">
        <v>43697</v>
      </c>
      <c r="AV201" s="264">
        <v>8</v>
      </c>
      <c r="AW201" s="264"/>
      <c r="AX201" s="264">
        <v>1</v>
      </c>
      <c r="AY201" s="264"/>
      <c r="AZ201" s="66">
        <v>43526</v>
      </c>
      <c r="BA201" s="264">
        <v>30</v>
      </c>
      <c r="BB201" s="264"/>
      <c r="BC201" s="264" t="s">
        <v>791</v>
      </c>
      <c r="BD201" s="264">
        <v>18</v>
      </c>
      <c r="BE201" s="264"/>
      <c r="BF201" s="264" t="s">
        <v>1047</v>
      </c>
      <c r="BG201" s="264">
        <v>32</v>
      </c>
      <c r="BH201" s="264"/>
      <c r="BI201" s="264" t="s">
        <v>794</v>
      </c>
      <c r="BJ201" s="264">
        <v>2</v>
      </c>
      <c r="BK201" s="264"/>
      <c r="BL201" s="66">
        <v>43589</v>
      </c>
      <c r="BM201" s="264">
        <v>2</v>
      </c>
      <c r="BN201" s="264" t="s">
        <v>651</v>
      </c>
      <c r="BO201" s="264"/>
      <c r="BP201" s="264">
        <v>1</v>
      </c>
      <c r="BQ201" s="264"/>
      <c r="BR201" s="264"/>
      <c r="BS201" s="264"/>
      <c r="BT201" s="264"/>
      <c r="BU201" s="264"/>
      <c r="BV201" s="264"/>
      <c r="BW201" s="264"/>
      <c r="BX201" s="264">
        <v>3</v>
      </c>
      <c r="BY201" s="264">
        <v>2</v>
      </c>
      <c r="BZ201" s="264"/>
      <c r="CA201" s="264" t="s">
        <v>651</v>
      </c>
      <c r="CB201" s="264"/>
      <c r="CC201" s="264"/>
      <c r="CD201" s="264"/>
      <c r="CE201" s="264"/>
      <c r="CF201" s="264"/>
      <c r="CG201" s="264"/>
      <c r="CH201" s="264"/>
      <c r="CI201" s="264"/>
      <c r="CJ201" s="264">
        <v>1</v>
      </c>
      <c r="CK201" s="264">
        <v>1</v>
      </c>
      <c r="CL201" s="264"/>
      <c r="CM201" s="264" t="s">
        <v>651</v>
      </c>
      <c r="CN201" s="264"/>
      <c r="CO201" s="264"/>
      <c r="CP201" s="264"/>
      <c r="CQ201" s="264"/>
      <c r="CR201" s="264"/>
      <c r="CS201" s="264"/>
      <c r="CT201" s="264"/>
      <c r="CU201" s="264">
        <v>11</v>
      </c>
      <c r="CV201" s="264">
        <v>7</v>
      </c>
      <c r="CW201" s="264">
        <v>6</v>
      </c>
      <c r="CX201" s="264" t="s">
        <v>769</v>
      </c>
      <c r="CY201" s="264">
        <v>2</v>
      </c>
      <c r="CZ201" s="264"/>
      <c r="DA201" s="264"/>
      <c r="DB201" s="264"/>
      <c r="DC201" s="264"/>
      <c r="DD201" s="264"/>
      <c r="DE201" s="264"/>
      <c r="DF201" s="264">
        <v>1</v>
      </c>
      <c r="DG201" s="264">
        <v>3</v>
      </c>
      <c r="DH201" s="264"/>
      <c r="DI201" s="264" t="s">
        <v>651</v>
      </c>
      <c r="DJ201" s="264"/>
      <c r="DK201" s="264"/>
      <c r="DL201" s="264"/>
      <c r="DM201" s="264"/>
      <c r="DN201" s="264">
        <v>1</v>
      </c>
      <c r="DO201" s="264"/>
      <c r="DP201" s="264"/>
      <c r="DQ201" s="264"/>
      <c r="DR201" s="264">
        <v>2</v>
      </c>
      <c r="DS201" s="264"/>
      <c r="DT201" s="264">
        <v>1</v>
      </c>
      <c r="DU201" s="264"/>
      <c r="DV201" s="264">
        <v>1</v>
      </c>
      <c r="DW201" s="264"/>
      <c r="DX201" s="264">
        <v>4</v>
      </c>
      <c r="DY201" s="264"/>
      <c r="DZ201" s="264">
        <v>3</v>
      </c>
      <c r="EA201" s="264"/>
      <c r="EB201" s="264">
        <v>2</v>
      </c>
      <c r="EC201" s="264"/>
      <c r="ED201" s="264" t="s">
        <v>1281</v>
      </c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>
        <v>1</v>
      </c>
      <c r="ER201" s="264"/>
      <c r="ES201" s="264"/>
      <c r="ET201" s="264"/>
      <c r="EU201" s="264"/>
    </row>
    <row r="202" spans="1:151">
      <c r="A202" s="160"/>
      <c r="B202" s="264" t="s">
        <v>490</v>
      </c>
      <c r="C202" s="264">
        <v>46</v>
      </c>
      <c r="D202" s="264" t="s">
        <v>967</v>
      </c>
      <c r="E202" s="264">
        <v>40</v>
      </c>
      <c r="F202" s="264" t="s">
        <v>1023</v>
      </c>
      <c r="G202" s="264">
        <v>46</v>
      </c>
      <c r="H202" s="264" t="s">
        <v>967</v>
      </c>
      <c r="I202" s="264">
        <v>40</v>
      </c>
      <c r="J202" s="264" t="s">
        <v>1023</v>
      </c>
      <c r="K202" s="264">
        <v>5</v>
      </c>
      <c r="L202" s="264" t="s">
        <v>737</v>
      </c>
      <c r="M202" s="264"/>
      <c r="N202" s="264" t="s">
        <v>675</v>
      </c>
      <c r="O202" s="264">
        <v>2</v>
      </c>
      <c r="P202" s="264" t="s">
        <v>752</v>
      </c>
      <c r="Q202" s="264">
        <v>7</v>
      </c>
      <c r="R202" s="66">
        <v>43662</v>
      </c>
      <c r="S202" s="264"/>
      <c r="T202" s="264" t="s">
        <v>650</v>
      </c>
      <c r="U202" s="264" t="s">
        <v>651</v>
      </c>
      <c r="V202" s="264"/>
      <c r="W202" s="264"/>
      <c r="X202" s="264">
        <v>31</v>
      </c>
      <c r="Y202" s="264" t="s">
        <v>960</v>
      </c>
      <c r="Z202" s="264">
        <v>26</v>
      </c>
      <c r="AA202" s="264" t="s">
        <v>668</v>
      </c>
      <c r="AB202" s="264">
        <v>1</v>
      </c>
      <c r="AC202" s="264" t="s">
        <v>1054</v>
      </c>
      <c r="AD202" s="264">
        <v>15</v>
      </c>
      <c r="AE202" s="264" t="s">
        <v>1328</v>
      </c>
      <c r="AF202" s="264">
        <v>14</v>
      </c>
      <c r="AG202" s="264"/>
      <c r="AH202" s="264">
        <v>4</v>
      </c>
      <c r="AI202" s="264" t="s">
        <v>1006</v>
      </c>
      <c r="AJ202" s="264">
        <v>15</v>
      </c>
      <c r="AK202" s="66">
        <v>43472</v>
      </c>
      <c r="AL202" s="264"/>
      <c r="AM202" s="264"/>
      <c r="AN202" s="264">
        <v>14</v>
      </c>
      <c r="AO202" s="264" t="s">
        <v>739</v>
      </c>
      <c r="AP202" s="66">
        <v>43585</v>
      </c>
      <c r="AQ202" s="264">
        <v>1</v>
      </c>
      <c r="AR202" s="264" t="s">
        <v>847</v>
      </c>
      <c r="AS202" s="264">
        <v>11</v>
      </c>
      <c r="AT202" s="264" t="s">
        <v>704</v>
      </c>
      <c r="AU202" s="66">
        <v>43731</v>
      </c>
      <c r="AV202" s="264">
        <v>1</v>
      </c>
      <c r="AW202" s="264" t="s">
        <v>1014</v>
      </c>
      <c r="AX202" s="264"/>
      <c r="AY202" s="264" t="s">
        <v>650</v>
      </c>
      <c r="AZ202" s="264"/>
      <c r="BA202" s="264">
        <v>25</v>
      </c>
      <c r="BB202" s="264" t="s">
        <v>692</v>
      </c>
      <c r="BC202" s="264" t="s">
        <v>713</v>
      </c>
      <c r="BD202" s="264">
        <v>14</v>
      </c>
      <c r="BE202" s="264" t="s">
        <v>782</v>
      </c>
      <c r="BF202" s="264" t="s">
        <v>1084</v>
      </c>
      <c r="BG202" s="264">
        <v>23</v>
      </c>
      <c r="BH202" s="264" t="s">
        <v>1036</v>
      </c>
      <c r="BI202" s="264" t="s">
        <v>999</v>
      </c>
      <c r="BJ202" s="264">
        <v>1</v>
      </c>
      <c r="BK202" s="264" t="s">
        <v>678</v>
      </c>
      <c r="BL202" s="66">
        <v>43587</v>
      </c>
      <c r="BM202" s="264">
        <v>1</v>
      </c>
      <c r="BN202" s="264" t="s">
        <v>651</v>
      </c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>
        <v>1</v>
      </c>
      <c r="BZ202" s="264"/>
      <c r="CA202" s="264" t="s">
        <v>651</v>
      </c>
      <c r="CB202" s="264"/>
      <c r="CC202" s="264"/>
      <c r="CD202" s="264"/>
      <c r="CE202" s="264"/>
      <c r="CF202" s="264"/>
      <c r="CG202" s="264"/>
      <c r="CH202" s="264"/>
      <c r="CI202" s="264"/>
      <c r="CJ202" s="264">
        <v>1</v>
      </c>
      <c r="CK202" s="264">
        <v>2</v>
      </c>
      <c r="CL202" s="264"/>
      <c r="CM202" s="264" t="s">
        <v>651</v>
      </c>
      <c r="CN202" s="264"/>
      <c r="CO202" s="264"/>
      <c r="CP202" s="264"/>
      <c r="CQ202" s="264"/>
      <c r="CR202" s="264"/>
      <c r="CS202" s="264"/>
      <c r="CT202" s="264"/>
      <c r="CU202" s="264">
        <v>14</v>
      </c>
      <c r="CV202" s="264">
        <v>5</v>
      </c>
      <c r="CW202" s="264">
        <v>1</v>
      </c>
      <c r="CX202" s="264" t="s">
        <v>674</v>
      </c>
      <c r="CY202" s="264">
        <v>1</v>
      </c>
      <c r="CZ202" s="264">
        <v>1</v>
      </c>
      <c r="DA202" s="264"/>
      <c r="DB202" s="264" t="s">
        <v>651</v>
      </c>
      <c r="DC202" s="264"/>
      <c r="DD202" s="264">
        <v>1</v>
      </c>
      <c r="DE202" s="264"/>
      <c r="DF202" s="264"/>
      <c r="DG202" s="264"/>
      <c r="DH202" s="264">
        <v>2</v>
      </c>
      <c r="DI202" s="264"/>
      <c r="DJ202" s="264"/>
      <c r="DK202" s="264"/>
      <c r="DL202" s="264"/>
      <c r="DM202" s="264"/>
      <c r="DN202" s="264">
        <v>1</v>
      </c>
      <c r="DO202" s="264">
        <v>2</v>
      </c>
      <c r="DP202" s="264">
        <v>1</v>
      </c>
      <c r="DQ202" s="264" t="s">
        <v>667</v>
      </c>
      <c r="DR202" s="264"/>
      <c r="DS202" s="264" t="s">
        <v>650</v>
      </c>
      <c r="DT202" s="264"/>
      <c r="DU202" s="264" t="s">
        <v>650</v>
      </c>
      <c r="DV202" s="264"/>
      <c r="DW202" s="264" t="s">
        <v>650</v>
      </c>
      <c r="DX202" s="264"/>
      <c r="DY202" s="264" t="s">
        <v>650</v>
      </c>
      <c r="DZ202" s="264"/>
      <c r="EA202" s="264" t="s">
        <v>650</v>
      </c>
      <c r="EB202" s="264"/>
      <c r="EC202" s="264" t="s">
        <v>650</v>
      </c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 t="s">
        <v>649</v>
      </c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 t="s">
        <v>652</v>
      </c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 t="s">
        <v>37</v>
      </c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 t="s">
        <v>653</v>
      </c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 t="s">
        <v>654</v>
      </c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 t="s">
        <v>649</v>
      </c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 t="s">
        <v>655</v>
      </c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 t="s">
        <v>37</v>
      </c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>
        <v>15</v>
      </c>
      <c r="D204" s="264"/>
      <c r="E204" s="264">
        <v>12</v>
      </c>
      <c r="F204" s="264"/>
      <c r="G204" s="264">
        <v>15</v>
      </c>
      <c r="H204" s="264"/>
      <c r="I204" s="264">
        <v>12</v>
      </c>
      <c r="J204" s="264"/>
      <c r="K204" s="264">
        <v>4</v>
      </c>
      <c r="L204" s="264"/>
      <c r="M204" s="264"/>
      <c r="N204" s="264" t="s">
        <v>734</v>
      </c>
      <c r="O204" s="264">
        <v>5</v>
      </c>
      <c r="P204" s="264"/>
      <c r="Q204" s="264">
        <v>3</v>
      </c>
      <c r="R204" s="264"/>
      <c r="S204" s="264">
        <v>1</v>
      </c>
      <c r="T204" s="264"/>
      <c r="U204" s="264" t="s">
        <v>734</v>
      </c>
      <c r="V204" s="264"/>
      <c r="W204" s="264"/>
      <c r="X204" s="264">
        <v>6</v>
      </c>
      <c r="Y204" s="264"/>
      <c r="Z204" s="264">
        <v>6</v>
      </c>
      <c r="AA204" s="264"/>
      <c r="AB204" s="264">
        <v>1</v>
      </c>
      <c r="AC204" s="264" t="s">
        <v>660</v>
      </c>
      <c r="AD204" s="264">
        <v>9</v>
      </c>
      <c r="AE204" s="264"/>
      <c r="AF204" s="264">
        <v>6</v>
      </c>
      <c r="AG204" s="264"/>
      <c r="AH204" s="264">
        <v>3</v>
      </c>
      <c r="AI204" s="264" t="s">
        <v>667</v>
      </c>
      <c r="AJ204" s="264">
        <v>1</v>
      </c>
      <c r="AK204" s="264"/>
      <c r="AL204" s="264"/>
      <c r="AM204" s="264"/>
      <c r="AN204" s="264">
        <v>7</v>
      </c>
      <c r="AO204" s="264"/>
      <c r="AP204" s="264" t="s">
        <v>781</v>
      </c>
      <c r="AQ204" s="264">
        <v>2</v>
      </c>
      <c r="AR204" s="264"/>
      <c r="AS204" s="264">
        <v>6</v>
      </c>
      <c r="AT204" s="264"/>
      <c r="AU204" s="264" t="s">
        <v>696</v>
      </c>
      <c r="AV204" s="264">
        <v>3</v>
      </c>
      <c r="AW204" s="264"/>
      <c r="AX204" s="264"/>
      <c r="AY204" s="264"/>
      <c r="AZ204" s="264"/>
      <c r="BA204" s="264">
        <v>7</v>
      </c>
      <c r="BB204" s="264"/>
      <c r="BC204" s="264" t="s">
        <v>725</v>
      </c>
      <c r="BD204" s="264">
        <v>2</v>
      </c>
      <c r="BE204" s="264"/>
      <c r="BF204" s="66">
        <v>43662</v>
      </c>
      <c r="BG204" s="264">
        <v>9</v>
      </c>
      <c r="BH204" s="264"/>
      <c r="BI204" s="264" t="s">
        <v>734</v>
      </c>
      <c r="BJ204" s="264">
        <v>1</v>
      </c>
      <c r="BK204" s="264"/>
      <c r="BL204" s="66">
        <v>43532</v>
      </c>
      <c r="BM204" s="264">
        <v>1</v>
      </c>
      <c r="BN204" s="264" t="s">
        <v>651</v>
      </c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>
        <v>1</v>
      </c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>
        <v>1</v>
      </c>
      <c r="CK204" s="264">
        <v>1</v>
      </c>
      <c r="CL204" s="264"/>
      <c r="CM204" s="264" t="s">
        <v>651</v>
      </c>
      <c r="CN204" s="264"/>
      <c r="CO204" s="264"/>
      <c r="CP204" s="264"/>
      <c r="CQ204" s="264"/>
      <c r="CR204" s="264"/>
      <c r="CS204" s="264"/>
      <c r="CT204" s="264"/>
      <c r="CU204" s="264">
        <v>6</v>
      </c>
      <c r="CV204" s="264">
        <v>2</v>
      </c>
      <c r="CW204" s="264">
        <v>3</v>
      </c>
      <c r="CX204" s="264" t="s">
        <v>696</v>
      </c>
      <c r="CY204" s="264">
        <v>1</v>
      </c>
      <c r="CZ204" s="264"/>
      <c r="DA204" s="264"/>
      <c r="DB204" s="264"/>
      <c r="DC204" s="264"/>
      <c r="DD204" s="264"/>
      <c r="DE204" s="264"/>
      <c r="DF204" s="264"/>
      <c r="DG204" s="264">
        <v>1</v>
      </c>
      <c r="DH204" s="264"/>
      <c r="DI204" s="264" t="s">
        <v>651</v>
      </c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>
        <v>3</v>
      </c>
      <c r="DY204" s="264"/>
      <c r="DZ204" s="264">
        <v>3</v>
      </c>
      <c r="EA204" s="264"/>
      <c r="EB204" s="264">
        <v>2</v>
      </c>
      <c r="EC204" s="264"/>
      <c r="ED204" s="264" t="s">
        <v>1281</v>
      </c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>
        <v>15</v>
      </c>
      <c r="D205" s="264"/>
      <c r="E205" s="264">
        <v>14</v>
      </c>
      <c r="F205" s="66">
        <v>43662</v>
      </c>
      <c r="G205" s="264">
        <v>15</v>
      </c>
      <c r="H205" s="264"/>
      <c r="I205" s="264">
        <v>14</v>
      </c>
      <c r="J205" s="66">
        <v>43662</v>
      </c>
      <c r="K205" s="264">
        <v>1</v>
      </c>
      <c r="L205" s="264" t="s">
        <v>728</v>
      </c>
      <c r="M205" s="264"/>
      <c r="N205" s="264" t="s">
        <v>760</v>
      </c>
      <c r="O205" s="264">
        <v>1</v>
      </c>
      <c r="P205" s="264" t="s">
        <v>889</v>
      </c>
      <c r="Q205" s="264">
        <v>2</v>
      </c>
      <c r="R205" s="264" t="s">
        <v>677</v>
      </c>
      <c r="S205" s="264"/>
      <c r="T205" s="264" t="s">
        <v>650</v>
      </c>
      <c r="U205" s="264" t="s">
        <v>651</v>
      </c>
      <c r="V205" s="264"/>
      <c r="W205" s="264"/>
      <c r="X205" s="264">
        <v>13</v>
      </c>
      <c r="Y205" s="264" t="s">
        <v>1040</v>
      </c>
      <c r="Z205" s="264">
        <v>11</v>
      </c>
      <c r="AA205" s="264" t="s">
        <v>674</v>
      </c>
      <c r="AB205" s="264"/>
      <c r="AC205" s="264" t="s">
        <v>651</v>
      </c>
      <c r="AD205" s="264">
        <v>2</v>
      </c>
      <c r="AE205" s="264" t="s">
        <v>979</v>
      </c>
      <c r="AF205" s="264">
        <v>3</v>
      </c>
      <c r="AG205" s="264" t="s">
        <v>678</v>
      </c>
      <c r="AH205" s="264">
        <v>1</v>
      </c>
      <c r="AI205" s="264" t="s">
        <v>734</v>
      </c>
      <c r="AJ205" s="264">
        <v>6</v>
      </c>
      <c r="AK205" s="264" t="s">
        <v>755</v>
      </c>
      <c r="AL205" s="264"/>
      <c r="AM205" s="264"/>
      <c r="AN205" s="264">
        <v>4</v>
      </c>
      <c r="AO205" s="264" t="s">
        <v>904</v>
      </c>
      <c r="AP205" s="66">
        <v>43672</v>
      </c>
      <c r="AQ205" s="264">
        <v>1</v>
      </c>
      <c r="AR205" s="264" t="s">
        <v>678</v>
      </c>
      <c r="AS205" s="264">
        <v>3</v>
      </c>
      <c r="AT205" s="264" t="s">
        <v>678</v>
      </c>
      <c r="AU205" s="264" t="s">
        <v>690</v>
      </c>
      <c r="AV205" s="264">
        <v>1</v>
      </c>
      <c r="AW205" s="264" t="s">
        <v>743</v>
      </c>
      <c r="AX205" s="264"/>
      <c r="AY205" s="264"/>
      <c r="AZ205" s="264"/>
      <c r="BA205" s="264">
        <v>6</v>
      </c>
      <c r="BB205" s="264" t="s">
        <v>673</v>
      </c>
      <c r="BC205" s="264" t="s">
        <v>772</v>
      </c>
      <c r="BD205" s="264">
        <v>4</v>
      </c>
      <c r="BE205" s="264" t="s">
        <v>651</v>
      </c>
      <c r="BF205" s="66">
        <v>43644</v>
      </c>
      <c r="BG205" s="264">
        <v>9</v>
      </c>
      <c r="BH205" s="264"/>
      <c r="BI205" s="264" t="s">
        <v>763</v>
      </c>
      <c r="BJ205" s="264"/>
      <c r="BK205" s="264" t="s">
        <v>650</v>
      </c>
      <c r="BL205" s="264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>
        <v>1</v>
      </c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>
        <v>4</v>
      </c>
      <c r="CV205" s="264">
        <v>2</v>
      </c>
      <c r="CW205" s="264"/>
      <c r="CX205" s="264" t="s">
        <v>651</v>
      </c>
      <c r="CY205" s="264"/>
      <c r="CZ205" s="264">
        <v>1</v>
      </c>
      <c r="DA205" s="264"/>
      <c r="DB205" s="264" t="s">
        <v>651</v>
      </c>
      <c r="DC205" s="264"/>
      <c r="DD205" s="264"/>
      <c r="DE205" s="264"/>
      <c r="DF205" s="264"/>
      <c r="DG205" s="264"/>
      <c r="DH205" s="264">
        <v>1</v>
      </c>
      <c r="DI205" s="264"/>
      <c r="DJ205" s="264"/>
      <c r="DK205" s="264"/>
      <c r="DL205" s="264"/>
      <c r="DM205" s="264"/>
      <c r="DN205" s="264"/>
      <c r="DO205" s="264">
        <v>2</v>
      </c>
      <c r="DP205" s="264"/>
      <c r="DQ205" s="264" t="s">
        <v>651</v>
      </c>
      <c r="DR205" s="264"/>
      <c r="DS205" s="264"/>
      <c r="DT205" s="264"/>
      <c r="DU205" s="264"/>
      <c r="DV205" s="264"/>
      <c r="DW205" s="264"/>
      <c r="DX205" s="264"/>
      <c r="DY205" s="264" t="s">
        <v>650</v>
      </c>
      <c r="DZ205" s="264"/>
      <c r="EA205" s="264" t="s">
        <v>650</v>
      </c>
      <c r="EB205" s="264"/>
      <c r="EC205" s="264" t="s">
        <v>650</v>
      </c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 t="s">
        <v>649</v>
      </c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 t="s">
        <v>652</v>
      </c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 t="s">
        <v>37</v>
      </c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 t="s">
        <v>653</v>
      </c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 t="s">
        <v>654</v>
      </c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 t="s">
        <v>649</v>
      </c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 t="s">
        <v>655</v>
      </c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 t="s">
        <v>37</v>
      </c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>
        <v>33</v>
      </c>
      <c r="D207" s="264"/>
      <c r="E207" s="264">
        <v>32</v>
      </c>
      <c r="F207" s="264"/>
      <c r="G207" s="264">
        <v>33</v>
      </c>
      <c r="H207" s="264"/>
      <c r="I207" s="264">
        <v>32</v>
      </c>
      <c r="J207" s="264"/>
      <c r="K207" s="264">
        <v>3</v>
      </c>
      <c r="L207" s="264"/>
      <c r="M207" s="264"/>
      <c r="N207" s="264" t="s">
        <v>1224</v>
      </c>
      <c r="O207" s="264">
        <v>9</v>
      </c>
      <c r="P207" s="264"/>
      <c r="Q207" s="264">
        <v>3</v>
      </c>
      <c r="R207" s="264"/>
      <c r="S207" s="264"/>
      <c r="T207" s="264"/>
      <c r="U207" s="264" t="s">
        <v>651</v>
      </c>
      <c r="V207" s="264"/>
      <c r="W207" s="264"/>
      <c r="X207" s="264">
        <v>19</v>
      </c>
      <c r="Y207" s="264"/>
      <c r="Z207" s="264">
        <v>24</v>
      </c>
      <c r="AA207" s="264"/>
      <c r="AB207" s="264"/>
      <c r="AC207" s="264" t="s">
        <v>651</v>
      </c>
      <c r="AD207" s="264">
        <v>14</v>
      </c>
      <c r="AE207" s="264"/>
      <c r="AF207" s="264">
        <v>8</v>
      </c>
      <c r="AG207" s="264"/>
      <c r="AH207" s="264">
        <v>3</v>
      </c>
      <c r="AI207" s="264" t="s">
        <v>794</v>
      </c>
      <c r="AJ207" s="264">
        <v>13</v>
      </c>
      <c r="AK207" s="264"/>
      <c r="AL207" s="264"/>
      <c r="AM207" s="264"/>
      <c r="AN207" s="264">
        <v>8</v>
      </c>
      <c r="AO207" s="264"/>
      <c r="AP207" s="66">
        <v>43520</v>
      </c>
      <c r="AQ207" s="264">
        <v>4</v>
      </c>
      <c r="AR207" s="264"/>
      <c r="AS207" s="264">
        <v>4</v>
      </c>
      <c r="AT207" s="264"/>
      <c r="AU207" s="66">
        <v>43477</v>
      </c>
      <c r="AV207" s="264">
        <v>5</v>
      </c>
      <c r="AW207" s="264"/>
      <c r="AX207" s="264">
        <v>1</v>
      </c>
      <c r="AY207" s="264"/>
      <c r="AZ207" s="66">
        <v>43468</v>
      </c>
      <c r="BA207" s="264">
        <v>23</v>
      </c>
      <c r="BB207" s="264"/>
      <c r="BC207" s="264" t="s">
        <v>1064</v>
      </c>
      <c r="BD207" s="264">
        <v>16</v>
      </c>
      <c r="BE207" s="264"/>
      <c r="BF207" s="264" t="s">
        <v>657</v>
      </c>
      <c r="BG207" s="264">
        <v>23</v>
      </c>
      <c r="BH207" s="264"/>
      <c r="BI207" s="264" t="s">
        <v>1064</v>
      </c>
      <c r="BJ207" s="264">
        <v>1</v>
      </c>
      <c r="BK207" s="264"/>
      <c r="BL207" s="66">
        <v>43468</v>
      </c>
      <c r="BM207" s="264">
        <v>1</v>
      </c>
      <c r="BN207" s="264" t="s">
        <v>651</v>
      </c>
      <c r="BO207" s="264"/>
      <c r="BP207" s="264">
        <v>1</v>
      </c>
      <c r="BQ207" s="264"/>
      <c r="BR207" s="264"/>
      <c r="BS207" s="264"/>
      <c r="BT207" s="264"/>
      <c r="BU207" s="264"/>
      <c r="BV207" s="264"/>
      <c r="BW207" s="264"/>
      <c r="BX207" s="264">
        <v>2</v>
      </c>
      <c r="BY207" s="264">
        <v>2</v>
      </c>
      <c r="BZ207" s="264"/>
      <c r="CA207" s="264" t="s">
        <v>651</v>
      </c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>
        <v>5</v>
      </c>
      <c r="CV207" s="264">
        <v>5</v>
      </c>
      <c r="CW207" s="264">
        <v>3</v>
      </c>
      <c r="CX207" s="264" t="s">
        <v>713</v>
      </c>
      <c r="CY207" s="264">
        <v>1</v>
      </c>
      <c r="CZ207" s="264"/>
      <c r="DA207" s="264"/>
      <c r="DB207" s="264"/>
      <c r="DC207" s="264"/>
      <c r="DD207" s="264"/>
      <c r="DE207" s="264"/>
      <c r="DF207" s="264">
        <v>1</v>
      </c>
      <c r="DG207" s="264">
        <v>2</v>
      </c>
      <c r="DH207" s="264"/>
      <c r="DI207" s="264" t="s">
        <v>651</v>
      </c>
      <c r="DJ207" s="264"/>
      <c r="DK207" s="264"/>
      <c r="DL207" s="264"/>
      <c r="DM207" s="264"/>
      <c r="DN207" s="264">
        <v>1</v>
      </c>
      <c r="DO207" s="264"/>
      <c r="DP207" s="264"/>
      <c r="DQ207" s="264"/>
      <c r="DR207" s="264">
        <v>2</v>
      </c>
      <c r="DS207" s="264"/>
      <c r="DT207" s="264">
        <v>1</v>
      </c>
      <c r="DU207" s="264"/>
      <c r="DV207" s="264">
        <v>1</v>
      </c>
      <c r="DW207" s="264"/>
      <c r="DX207" s="264">
        <v>1</v>
      </c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>
        <v>1</v>
      </c>
      <c r="ER207" s="264"/>
      <c r="ES207" s="264"/>
      <c r="ET207" s="264"/>
      <c r="EU207" s="264"/>
    </row>
    <row r="208" spans="1:151">
      <c r="A208" s="160"/>
      <c r="B208" s="264" t="s">
        <v>465</v>
      </c>
      <c r="C208" s="264">
        <v>31</v>
      </c>
      <c r="D208" s="264" t="s">
        <v>937</v>
      </c>
      <c r="E208" s="264">
        <v>26</v>
      </c>
      <c r="F208" s="264" t="s">
        <v>922</v>
      </c>
      <c r="G208" s="264">
        <v>31</v>
      </c>
      <c r="H208" s="264" t="s">
        <v>937</v>
      </c>
      <c r="I208" s="264">
        <v>26</v>
      </c>
      <c r="J208" s="264" t="s">
        <v>922</v>
      </c>
      <c r="K208" s="264">
        <v>4</v>
      </c>
      <c r="L208" s="264" t="s">
        <v>714</v>
      </c>
      <c r="M208" s="264"/>
      <c r="N208" s="264" t="s">
        <v>700</v>
      </c>
      <c r="O208" s="264">
        <v>1</v>
      </c>
      <c r="P208" s="264" t="s">
        <v>1289</v>
      </c>
      <c r="Q208" s="264">
        <v>5</v>
      </c>
      <c r="R208" s="264" t="s">
        <v>667</v>
      </c>
      <c r="S208" s="264"/>
      <c r="T208" s="264"/>
      <c r="U208" s="264" t="s">
        <v>651</v>
      </c>
      <c r="V208" s="264"/>
      <c r="W208" s="264"/>
      <c r="X208" s="264">
        <v>18</v>
      </c>
      <c r="Y208" s="264" t="s">
        <v>890</v>
      </c>
      <c r="Z208" s="264">
        <v>15</v>
      </c>
      <c r="AA208" s="264" t="s">
        <v>715</v>
      </c>
      <c r="AB208" s="264">
        <v>1</v>
      </c>
      <c r="AC208" s="264" t="s">
        <v>1088</v>
      </c>
      <c r="AD208" s="264">
        <v>13</v>
      </c>
      <c r="AE208" s="264" t="s">
        <v>764</v>
      </c>
      <c r="AF208" s="264">
        <v>11</v>
      </c>
      <c r="AG208" s="264" t="s">
        <v>742</v>
      </c>
      <c r="AH208" s="264">
        <v>3</v>
      </c>
      <c r="AI208" s="264" t="s">
        <v>1038</v>
      </c>
      <c r="AJ208" s="264">
        <v>9</v>
      </c>
      <c r="AK208" s="264" t="s">
        <v>683</v>
      </c>
      <c r="AL208" s="264"/>
      <c r="AM208" s="264"/>
      <c r="AN208" s="264">
        <v>10</v>
      </c>
      <c r="AO208" s="264" t="s">
        <v>688</v>
      </c>
      <c r="AP208" s="264" t="s">
        <v>879</v>
      </c>
      <c r="AQ208" s="264"/>
      <c r="AR208" s="264" t="s">
        <v>650</v>
      </c>
      <c r="AS208" s="264">
        <v>8</v>
      </c>
      <c r="AT208" s="264" t="s">
        <v>651</v>
      </c>
      <c r="AU208" s="66">
        <v>43702</v>
      </c>
      <c r="AV208" s="264"/>
      <c r="AW208" s="264" t="s">
        <v>650</v>
      </c>
      <c r="AX208" s="264"/>
      <c r="AY208" s="264" t="s">
        <v>650</v>
      </c>
      <c r="AZ208" s="264"/>
      <c r="BA208" s="264">
        <v>19</v>
      </c>
      <c r="BB208" s="264" t="s">
        <v>663</v>
      </c>
      <c r="BC208" s="264" t="s">
        <v>705</v>
      </c>
      <c r="BD208" s="264">
        <v>10</v>
      </c>
      <c r="BE208" s="264" t="s">
        <v>715</v>
      </c>
      <c r="BF208" s="264" t="s">
        <v>938</v>
      </c>
      <c r="BG208" s="264">
        <v>14</v>
      </c>
      <c r="BH208" s="264" t="s">
        <v>952</v>
      </c>
      <c r="BI208" s="264" t="s">
        <v>769</v>
      </c>
      <c r="BJ208" s="264">
        <v>1</v>
      </c>
      <c r="BK208" s="264"/>
      <c r="BL208" s="66">
        <v>43680</v>
      </c>
      <c r="BM208" s="264">
        <v>1</v>
      </c>
      <c r="BN208" s="264" t="s">
        <v>651</v>
      </c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>
        <v>1</v>
      </c>
      <c r="BZ208" s="264"/>
      <c r="CA208" s="264" t="s">
        <v>651</v>
      </c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>
        <v>2</v>
      </c>
      <c r="CL208" s="264"/>
      <c r="CM208" s="264" t="s">
        <v>651</v>
      </c>
      <c r="CN208" s="264"/>
      <c r="CO208" s="264"/>
      <c r="CP208" s="264"/>
      <c r="CQ208" s="264"/>
      <c r="CR208" s="264"/>
      <c r="CS208" s="264"/>
      <c r="CT208" s="264"/>
      <c r="CU208" s="264">
        <v>10</v>
      </c>
      <c r="CV208" s="264">
        <v>3</v>
      </c>
      <c r="CW208" s="264">
        <v>1</v>
      </c>
      <c r="CX208" s="264" t="s">
        <v>734</v>
      </c>
      <c r="CY208" s="264">
        <v>1</v>
      </c>
      <c r="CZ208" s="264"/>
      <c r="DA208" s="264"/>
      <c r="DB208" s="264"/>
      <c r="DC208" s="264"/>
      <c r="DD208" s="264">
        <v>1</v>
      </c>
      <c r="DE208" s="264"/>
      <c r="DF208" s="264"/>
      <c r="DG208" s="264"/>
      <c r="DH208" s="264">
        <v>1</v>
      </c>
      <c r="DI208" s="264"/>
      <c r="DJ208" s="264"/>
      <c r="DK208" s="264"/>
      <c r="DL208" s="264"/>
      <c r="DM208" s="264"/>
      <c r="DN208" s="264">
        <v>1</v>
      </c>
      <c r="DO208" s="264"/>
      <c r="DP208" s="264">
        <v>1</v>
      </c>
      <c r="DQ208" s="264"/>
      <c r="DR208" s="264"/>
      <c r="DS208" s="264" t="s">
        <v>650</v>
      </c>
      <c r="DT208" s="264"/>
      <c r="DU208" s="264" t="s">
        <v>650</v>
      </c>
      <c r="DV208" s="264"/>
      <c r="DW208" s="264" t="s">
        <v>650</v>
      </c>
      <c r="DX208" s="264"/>
      <c r="DY208" s="264" t="s">
        <v>650</v>
      </c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 t="s">
        <v>649</v>
      </c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 t="s">
        <v>652</v>
      </c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 t="s">
        <v>37</v>
      </c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 t="s">
        <v>653</v>
      </c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 t="s">
        <v>654</v>
      </c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 t="s">
        <v>649</v>
      </c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 t="s">
        <v>655</v>
      </c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 t="s">
        <v>37</v>
      </c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>
        <v>22</v>
      </c>
      <c r="D210" s="264"/>
      <c r="E210" s="264">
        <v>13</v>
      </c>
      <c r="F210" s="264"/>
      <c r="G210" s="264">
        <v>22</v>
      </c>
      <c r="H210" s="264"/>
      <c r="I210" s="264">
        <v>13</v>
      </c>
      <c r="J210" s="264"/>
      <c r="K210" s="264">
        <v>2</v>
      </c>
      <c r="L210" s="264"/>
      <c r="M210" s="264"/>
      <c r="N210" s="264" t="s">
        <v>700</v>
      </c>
      <c r="O210" s="264">
        <v>5</v>
      </c>
      <c r="P210" s="264"/>
      <c r="Q210" s="264">
        <v>1</v>
      </c>
      <c r="R210" s="264"/>
      <c r="S210" s="264"/>
      <c r="T210" s="264"/>
      <c r="U210" s="264" t="s">
        <v>651</v>
      </c>
      <c r="V210" s="264">
        <v>1</v>
      </c>
      <c r="W210" s="264" t="s">
        <v>859</v>
      </c>
      <c r="X210" s="264">
        <v>10</v>
      </c>
      <c r="Y210" s="264"/>
      <c r="Z210" s="264">
        <v>4</v>
      </c>
      <c r="AA210" s="264"/>
      <c r="AB210" s="264">
        <v>1</v>
      </c>
      <c r="AC210" s="264" t="s">
        <v>693</v>
      </c>
      <c r="AD210" s="264">
        <v>12</v>
      </c>
      <c r="AE210" s="264"/>
      <c r="AF210" s="264">
        <v>9</v>
      </c>
      <c r="AG210" s="264"/>
      <c r="AH210" s="264">
        <v>1</v>
      </c>
      <c r="AI210" s="264" t="s">
        <v>749</v>
      </c>
      <c r="AJ210" s="264">
        <v>5</v>
      </c>
      <c r="AK210" s="264"/>
      <c r="AL210" s="264"/>
      <c r="AM210" s="264"/>
      <c r="AN210" s="264">
        <v>4</v>
      </c>
      <c r="AO210" s="264"/>
      <c r="AP210" s="66">
        <v>43514</v>
      </c>
      <c r="AQ210" s="264"/>
      <c r="AR210" s="264"/>
      <c r="AS210" s="264">
        <v>4</v>
      </c>
      <c r="AT210" s="264"/>
      <c r="AU210" s="66">
        <v>43514</v>
      </c>
      <c r="AV210" s="264">
        <v>2</v>
      </c>
      <c r="AW210" s="264"/>
      <c r="AX210" s="264"/>
      <c r="AY210" s="264"/>
      <c r="AZ210" s="264"/>
      <c r="BA210" s="264">
        <v>6</v>
      </c>
      <c r="BB210" s="264"/>
      <c r="BC210" s="264" t="s">
        <v>815</v>
      </c>
      <c r="BD210" s="264">
        <v>3</v>
      </c>
      <c r="BE210" s="264"/>
      <c r="BF210" s="66">
        <v>43488</v>
      </c>
      <c r="BG210" s="264">
        <v>8</v>
      </c>
      <c r="BH210" s="264"/>
      <c r="BI210" s="264" t="s">
        <v>880</v>
      </c>
      <c r="BJ210" s="264"/>
      <c r="BK210" s="264"/>
      <c r="BL210" s="264"/>
      <c r="BM210" s="264"/>
      <c r="BN210" s="264"/>
      <c r="BO210" s="264"/>
      <c r="BP210" s="264">
        <v>1</v>
      </c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>
        <v>7</v>
      </c>
      <c r="CV210" s="264">
        <v>4</v>
      </c>
      <c r="CW210" s="264"/>
      <c r="CX210" s="264" t="s">
        <v>651</v>
      </c>
      <c r="CY210" s="264">
        <v>1</v>
      </c>
      <c r="CZ210" s="264">
        <v>1</v>
      </c>
      <c r="DA210" s="264"/>
      <c r="DB210" s="264" t="s">
        <v>651</v>
      </c>
      <c r="DC210" s="264"/>
      <c r="DD210" s="264"/>
      <c r="DE210" s="264"/>
      <c r="DF210" s="264"/>
      <c r="DG210" s="264"/>
      <c r="DH210" s="264">
        <v>1</v>
      </c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>
        <v>4</v>
      </c>
      <c r="DY210" s="264"/>
      <c r="DZ210" s="264">
        <v>4</v>
      </c>
      <c r="EA210" s="264"/>
      <c r="EB210" s="264"/>
      <c r="EC210" s="264"/>
      <c r="ED210" s="264" t="s">
        <v>1026</v>
      </c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>
        <v>17</v>
      </c>
      <c r="D211" s="264" t="s">
        <v>1052</v>
      </c>
      <c r="E211" s="264">
        <v>14</v>
      </c>
      <c r="F211" s="66">
        <v>43653</v>
      </c>
      <c r="G211" s="264">
        <v>17</v>
      </c>
      <c r="H211" s="264" t="s">
        <v>1052</v>
      </c>
      <c r="I211" s="264">
        <v>14</v>
      </c>
      <c r="J211" s="66">
        <v>43653</v>
      </c>
      <c r="K211" s="264">
        <v>3</v>
      </c>
      <c r="L211" s="264" t="s">
        <v>657</v>
      </c>
      <c r="M211" s="264"/>
      <c r="N211" s="264" t="s">
        <v>759</v>
      </c>
      <c r="O211" s="264">
        <v>2</v>
      </c>
      <c r="P211" s="264" t="s">
        <v>723</v>
      </c>
      <c r="Q211" s="264">
        <v>1</v>
      </c>
      <c r="R211" s="264"/>
      <c r="S211" s="264"/>
      <c r="T211" s="264"/>
      <c r="U211" s="264" t="s">
        <v>651</v>
      </c>
      <c r="V211" s="264">
        <v>1</v>
      </c>
      <c r="W211" s="66">
        <v>43498</v>
      </c>
      <c r="X211" s="264">
        <v>10</v>
      </c>
      <c r="Y211" s="264"/>
      <c r="Z211" s="264">
        <v>7</v>
      </c>
      <c r="AA211" s="264" t="s">
        <v>734</v>
      </c>
      <c r="AB211" s="264">
        <v>2</v>
      </c>
      <c r="AC211" s="264" t="s">
        <v>1006</v>
      </c>
      <c r="AD211" s="264">
        <v>7</v>
      </c>
      <c r="AE211" s="264" t="s">
        <v>852</v>
      </c>
      <c r="AF211" s="264">
        <v>7</v>
      </c>
      <c r="AG211" s="264" t="s">
        <v>782</v>
      </c>
      <c r="AH211" s="264">
        <v>1</v>
      </c>
      <c r="AI211" s="264" t="s">
        <v>720</v>
      </c>
      <c r="AJ211" s="264">
        <v>1</v>
      </c>
      <c r="AK211" s="264" t="s">
        <v>889</v>
      </c>
      <c r="AL211" s="264"/>
      <c r="AM211" s="264"/>
      <c r="AN211" s="264">
        <v>6</v>
      </c>
      <c r="AO211" s="264" t="s">
        <v>657</v>
      </c>
      <c r="AP211" s="264" t="s">
        <v>950</v>
      </c>
      <c r="AQ211" s="264"/>
      <c r="AR211" s="264"/>
      <c r="AS211" s="264">
        <v>4</v>
      </c>
      <c r="AT211" s="264"/>
      <c r="AU211" s="66">
        <v>43608</v>
      </c>
      <c r="AV211" s="264"/>
      <c r="AW211" s="264" t="s">
        <v>650</v>
      </c>
      <c r="AX211" s="264"/>
      <c r="AY211" s="264"/>
      <c r="AZ211" s="264"/>
      <c r="BA211" s="264">
        <v>10</v>
      </c>
      <c r="BB211" s="264" t="s">
        <v>667</v>
      </c>
      <c r="BC211" s="264" t="s">
        <v>837</v>
      </c>
      <c r="BD211" s="264">
        <v>9</v>
      </c>
      <c r="BE211" s="264" t="s">
        <v>697</v>
      </c>
      <c r="BF211" s="264" t="s">
        <v>763</v>
      </c>
      <c r="BG211" s="264">
        <v>10</v>
      </c>
      <c r="BH211" s="264" t="s">
        <v>688</v>
      </c>
      <c r="BI211" s="264" t="s">
        <v>837</v>
      </c>
      <c r="BJ211" s="264"/>
      <c r="BK211" s="264"/>
      <c r="BL211" s="264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>
        <v>1</v>
      </c>
      <c r="BY211" s="264"/>
      <c r="BZ211" s="264"/>
      <c r="CA211" s="264"/>
      <c r="CB211" s="264">
        <v>1</v>
      </c>
      <c r="CC211" s="264"/>
      <c r="CD211" s="264"/>
      <c r="CE211" s="264"/>
      <c r="CF211" s="264"/>
      <c r="CG211" s="264"/>
      <c r="CH211" s="264"/>
      <c r="CI211" s="264"/>
      <c r="CJ211" s="264">
        <v>1</v>
      </c>
      <c r="CK211" s="264"/>
      <c r="CL211" s="264"/>
      <c r="CM211" s="264"/>
      <c r="CN211" s="264"/>
      <c r="CO211" s="264"/>
      <c r="CP211" s="264"/>
      <c r="CQ211" s="264"/>
      <c r="CR211" s="264">
        <v>1</v>
      </c>
      <c r="CS211" s="264"/>
      <c r="CT211" s="264" t="s">
        <v>651</v>
      </c>
      <c r="CU211" s="264">
        <v>8</v>
      </c>
      <c r="CV211" s="264">
        <v>5</v>
      </c>
      <c r="CW211" s="264">
        <v>3</v>
      </c>
      <c r="CX211" s="264" t="s">
        <v>713</v>
      </c>
      <c r="CY211" s="264"/>
      <c r="CZ211" s="264">
        <v>1</v>
      </c>
      <c r="DA211" s="264"/>
      <c r="DB211" s="264" t="s">
        <v>651</v>
      </c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 t="s">
        <v>650</v>
      </c>
      <c r="DZ211" s="264"/>
      <c r="EA211" s="264" t="s">
        <v>650</v>
      </c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 t="s">
        <v>649</v>
      </c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 t="s">
        <v>652</v>
      </c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 t="s">
        <v>37</v>
      </c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 t="s">
        <v>653</v>
      </c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 t="s">
        <v>654</v>
      </c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 t="s">
        <v>649</v>
      </c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 t="s">
        <v>655</v>
      </c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 t="s">
        <v>37</v>
      </c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>
        <v>10</v>
      </c>
      <c r="D213" s="264"/>
      <c r="E213" s="264">
        <v>4</v>
      </c>
      <c r="F213" s="264"/>
      <c r="G213" s="264">
        <v>10</v>
      </c>
      <c r="H213" s="264"/>
      <c r="I213" s="264">
        <v>4</v>
      </c>
      <c r="J213" s="264"/>
      <c r="K213" s="264"/>
      <c r="L213" s="264"/>
      <c r="M213" s="264"/>
      <c r="N213" s="264" t="s">
        <v>651</v>
      </c>
      <c r="O213" s="264">
        <v>2</v>
      </c>
      <c r="P213" s="264"/>
      <c r="Q213" s="264">
        <v>1</v>
      </c>
      <c r="R213" s="264"/>
      <c r="S213" s="264"/>
      <c r="T213" s="264"/>
      <c r="U213" s="264" t="s">
        <v>651</v>
      </c>
      <c r="V213" s="264"/>
      <c r="W213" s="264"/>
      <c r="X213" s="264">
        <v>5</v>
      </c>
      <c r="Y213" s="264"/>
      <c r="Z213" s="264">
        <v>1</v>
      </c>
      <c r="AA213" s="264"/>
      <c r="AB213" s="264"/>
      <c r="AC213" s="264" t="s">
        <v>651</v>
      </c>
      <c r="AD213" s="264">
        <v>5</v>
      </c>
      <c r="AE213" s="264"/>
      <c r="AF213" s="264">
        <v>3</v>
      </c>
      <c r="AG213" s="264"/>
      <c r="AH213" s="264"/>
      <c r="AI213" s="264" t="s">
        <v>651</v>
      </c>
      <c r="AJ213" s="264">
        <v>1</v>
      </c>
      <c r="AK213" s="264"/>
      <c r="AL213" s="264"/>
      <c r="AM213" s="264"/>
      <c r="AN213" s="264">
        <v>2</v>
      </c>
      <c r="AO213" s="264"/>
      <c r="AP213" s="264" t="s">
        <v>690</v>
      </c>
      <c r="AQ213" s="264"/>
      <c r="AR213" s="264"/>
      <c r="AS213" s="264">
        <v>2</v>
      </c>
      <c r="AT213" s="264"/>
      <c r="AU213" s="264" t="s">
        <v>690</v>
      </c>
      <c r="AV213" s="264"/>
      <c r="AW213" s="264"/>
      <c r="AX213" s="264"/>
      <c r="AY213" s="264"/>
      <c r="AZ213" s="264"/>
      <c r="BA213" s="264">
        <v>2</v>
      </c>
      <c r="BB213" s="264"/>
      <c r="BC213" s="264" t="s">
        <v>657</v>
      </c>
      <c r="BD213" s="264"/>
      <c r="BE213" s="264"/>
      <c r="BF213" s="264"/>
      <c r="BG213" s="264">
        <v>3</v>
      </c>
      <c r="BH213" s="264"/>
      <c r="BI213" s="264" t="s">
        <v>734</v>
      </c>
      <c r="BJ213" s="264"/>
      <c r="BK213" s="264"/>
      <c r="BL213" s="264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>
        <v>5</v>
      </c>
      <c r="CV213" s="264">
        <v>1</v>
      </c>
      <c r="CW213" s="264"/>
      <c r="CX213" s="264" t="s">
        <v>651</v>
      </c>
      <c r="CY213" s="264">
        <v>1</v>
      </c>
      <c r="CZ213" s="264">
        <v>1</v>
      </c>
      <c r="DA213" s="264"/>
      <c r="DB213" s="264" t="s">
        <v>651</v>
      </c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>
        <v>9</v>
      </c>
      <c r="D214" s="264" t="s">
        <v>758</v>
      </c>
      <c r="E214" s="264">
        <v>9</v>
      </c>
      <c r="F214" s="264" t="s">
        <v>730</v>
      </c>
      <c r="G214" s="264">
        <v>9</v>
      </c>
      <c r="H214" s="264" t="s">
        <v>758</v>
      </c>
      <c r="I214" s="264">
        <v>9</v>
      </c>
      <c r="J214" s="264" t="s">
        <v>730</v>
      </c>
      <c r="K214" s="264">
        <v>2</v>
      </c>
      <c r="L214" s="264" t="s">
        <v>651</v>
      </c>
      <c r="M214" s="264"/>
      <c r="N214" s="264" t="s">
        <v>684</v>
      </c>
      <c r="O214" s="264">
        <v>1</v>
      </c>
      <c r="P214" s="264" t="s">
        <v>678</v>
      </c>
      <c r="Q214" s="264">
        <v>1</v>
      </c>
      <c r="R214" s="264"/>
      <c r="S214" s="264"/>
      <c r="T214" s="264"/>
      <c r="U214" s="264" t="s">
        <v>651</v>
      </c>
      <c r="V214" s="264">
        <v>1</v>
      </c>
      <c r="W214" s="264" t="s">
        <v>840</v>
      </c>
      <c r="X214" s="264">
        <v>5</v>
      </c>
      <c r="Y214" s="264"/>
      <c r="Z214" s="264">
        <v>5</v>
      </c>
      <c r="AA214" s="264" t="s">
        <v>756</v>
      </c>
      <c r="AB214" s="264">
        <v>1</v>
      </c>
      <c r="AC214" s="264" t="s">
        <v>674</v>
      </c>
      <c r="AD214" s="264">
        <v>4</v>
      </c>
      <c r="AE214" s="264" t="s">
        <v>669</v>
      </c>
      <c r="AF214" s="264">
        <v>4</v>
      </c>
      <c r="AG214" s="264" t="s">
        <v>714</v>
      </c>
      <c r="AH214" s="264">
        <v>1</v>
      </c>
      <c r="AI214" s="264" t="s">
        <v>693</v>
      </c>
      <c r="AJ214" s="264"/>
      <c r="AK214" s="264" t="s">
        <v>650</v>
      </c>
      <c r="AL214" s="264"/>
      <c r="AM214" s="264"/>
      <c r="AN214" s="264">
        <v>2</v>
      </c>
      <c r="AO214" s="264"/>
      <c r="AP214" s="66">
        <v>43518</v>
      </c>
      <c r="AQ214" s="264"/>
      <c r="AR214" s="264"/>
      <c r="AS214" s="264">
        <v>1</v>
      </c>
      <c r="AT214" s="264" t="s">
        <v>678</v>
      </c>
      <c r="AU214" s="66">
        <v>43476</v>
      </c>
      <c r="AV214" s="264"/>
      <c r="AW214" s="264"/>
      <c r="AX214" s="264"/>
      <c r="AY214" s="264"/>
      <c r="AZ214" s="264"/>
      <c r="BA214" s="264">
        <v>6</v>
      </c>
      <c r="BB214" s="264" t="s">
        <v>697</v>
      </c>
      <c r="BC214" s="264" t="s">
        <v>667</v>
      </c>
      <c r="BD214" s="264">
        <v>6</v>
      </c>
      <c r="BE214" s="264" t="s">
        <v>651</v>
      </c>
      <c r="BF214" s="264" t="s">
        <v>667</v>
      </c>
      <c r="BG214" s="264">
        <v>6</v>
      </c>
      <c r="BH214" s="264" t="s">
        <v>651</v>
      </c>
      <c r="BI214" s="264" t="s">
        <v>667</v>
      </c>
      <c r="BJ214" s="264"/>
      <c r="BK214" s="264"/>
      <c r="BL214" s="264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>
        <v>1</v>
      </c>
      <c r="BY214" s="264"/>
      <c r="BZ214" s="264"/>
      <c r="CA214" s="264"/>
      <c r="CB214" s="264">
        <v>1</v>
      </c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>
        <v>4</v>
      </c>
      <c r="CV214" s="264">
        <v>4</v>
      </c>
      <c r="CW214" s="264">
        <v>2</v>
      </c>
      <c r="CX214" s="264" t="s">
        <v>667</v>
      </c>
      <c r="CY214" s="264"/>
      <c r="CZ214" s="264">
        <v>1</v>
      </c>
      <c r="DA214" s="264"/>
      <c r="DB214" s="264" t="s">
        <v>651</v>
      </c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 t="s">
        <v>649</v>
      </c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 t="s">
        <v>652</v>
      </c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 t="s">
        <v>37</v>
      </c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 t="s">
        <v>653</v>
      </c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 t="s">
        <v>654</v>
      </c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 t="s">
        <v>649</v>
      </c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 t="s">
        <v>655</v>
      </c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 t="s">
        <v>37</v>
      </c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>
        <v>12</v>
      </c>
      <c r="D216" s="264"/>
      <c r="E216" s="264">
        <v>9</v>
      </c>
      <c r="F216" s="264"/>
      <c r="G216" s="264">
        <v>12</v>
      </c>
      <c r="H216" s="264"/>
      <c r="I216" s="264">
        <v>9</v>
      </c>
      <c r="J216" s="264"/>
      <c r="K216" s="264">
        <v>2</v>
      </c>
      <c r="L216" s="264"/>
      <c r="M216" s="264"/>
      <c r="N216" s="264" t="s">
        <v>684</v>
      </c>
      <c r="O216" s="264">
        <v>3</v>
      </c>
      <c r="P216" s="264"/>
      <c r="Q216" s="264"/>
      <c r="R216" s="264"/>
      <c r="S216" s="264"/>
      <c r="T216" s="264"/>
      <c r="U216" s="264"/>
      <c r="V216" s="264">
        <v>1</v>
      </c>
      <c r="W216" s="66">
        <v>43649</v>
      </c>
      <c r="X216" s="264">
        <v>5</v>
      </c>
      <c r="Y216" s="264"/>
      <c r="Z216" s="264">
        <v>3</v>
      </c>
      <c r="AA216" s="264"/>
      <c r="AB216" s="264">
        <v>1</v>
      </c>
      <c r="AC216" s="264" t="s">
        <v>734</v>
      </c>
      <c r="AD216" s="264">
        <v>7</v>
      </c>
      <c r="AE216" s="264"/>
      <c r="AF216" s="264">
        <v>6</v>
      </c>
      <c r="AG216" s="264"/>
      <c r="AH216" s="264">
        <v>1</v>
      </c>
      <c r="AI216" s="264" t="s">
        <v>660</v>
      </c>
      <c r="AJ216" s="264">
        <v>4</v>
      </c>
      <c r="AK216" s="264"/>
      <c r="AL216" s="264"/>
      <c r="AM216" s="264"/>
      <c r="AN216" s="264">
        <v>2</v>
      </c>
      <c r="AO216" s="264"/>
      <c r="AP216" s="66">
        <v>43662</v>
      </c>
      <c r="AQ216" s="264"/>
      <c r="AR216" s="264"/>
      <c r="AS216" s="264">
        <v>2</v>
      </c>
      <c r="AT216" s="264"/>
      <c r="AU216" s="66">
        <v>43662</v>
      </c>
      <c r="AV216" s="264">
        <v>2</v>
      </c>
      <c r="AW216" s="264"/>
      <c r="AX216" s="264"/>
      <c r="AY216" s="264"/>
      <c r="AZ216" s="264"/>
      <c r="BA216" s="264">
        <v>4</v>
      </c>
      <c r="BB216" s="264"/>
      <c r="BC216" s="264" t="s">
        <v>726</v>
      </c>
      <c r="BD216" s="264">
        <v>3</v>
      </c>
      <c r="BE216" s="264"/>
      <c r="BF216" s="264" t="s">
        <v>714</v>
      </c>
      <c r="BG216" s="264">
        <v>5</v>
      </c>
      <c r="BH216" s="264"/>
      <c r="BI216" s="264" t="s">
        <v>727</v>
      </c>
      <c r="BJ216" s="264"/>
      <c r="BK216" s="264"/>
      <c r="BL216" s="264"/>
      <c r="BM216" s="264"/>
      <c r="BN216" s="264"/>
      <c r="BO216" s="264"/>
      <c r="BP216" s="264">
        <v>1</v>
      </c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>
        <v>2</v>
      </c>
      <c r="CV216" s="264">
        <v>3</v>
      </c>
      <c r="CW216" s="264"/>
      <c r="CX216" s="264" t="s">
        <v>651</v>
      </c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>
        <v>1</v>
      </c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>
        <v>4</v>
      </c>
      <c r="DY216" s="264"/>
      <c r="DZ216" s="264">
        <v>4</v>
      </c>
      <c r="EA216" s="264"/>
      <c r="EB216" s="264"/>
      <c r="EC216" s="264"/>
      <c r="ED216" s="264" t="s">
        <v>1026</v>
      </c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>
        <v>8</v>
      </c>
      <c r="D217" s="264" t="s">
        <v>677</v>
      </c>
      <c r="E217" s="264">
        <v>5</v>
      </c>
      <c r="F217" s="264" t="s">
        <v>754</v>
      </c>
      <c r="G217" s="264">
        <v>8</v>
      </c>
      <c r="H217" s="264" t="s">
        <v>677</v>
      </c>
      <c r="I217" s="264">
        <v>5</v>
      </c>
      <c r="J217" s="264" t="s">
        <v>754</v>
      </c>
      <c r="K217" s="264">
        <v>1</v>
      </c>
      <c r="L217" s="264" t="s">
        <v>678</v>
      </c>
      <c r="M217" s="264"/>
      <c r="N217" s="264" t="s">
        <v>674</v>
      </c>
      <c r="O217" s="264">
        <v>1</v>
      </c>
      <c r="P217" s="264" t="s">
        <v>743</v>
      </c>
      <c r="Q217" s="264"/>
      <c r="R217" s="264"/>
      <c r="S217" s="264"/>
      <c r="T217" s="264"/>
      <c r="U217" s="264"/>
      <c r="V217" s="264"/>
      <c r="W217" s="264"/>
      <c r="X217" s="264">
        <v>5</v>
      </c>
      <c r="Y217" s="264"/>
      <c r="Z217" s="264">
        <v>2</v>
      </c>
      <c r="AA217" s="264" t="s">
        <v>677</v>
      </c>
      <c r="AB217" s="264">
        <v>1</v>
      </c>
      <c r="AC217" s="264" t="s">
        <v>667</v>
      </c>
      <c r="AD217" s="264">
        <v>3</v>
      </c>
      <c r="AE217" s="264" t="s">
        <v>1050</v>
      </c>
      <c r="AF217" s="264">
        <v>3</v>
      </c>
      <c r="AG217" s="264" t="s">
        <v>678</v>
      </c>
      <c r="AH217" s="264"/>
      <c r="AI217" s="264" t="s">
        <v>651</v>
      </c>
      <c r="AJ217" s="264">
        <v>1</v>
      </c>
      <c r="AK217" s="264" t="s">
        <v>728</v>
      </c>
      <c r="AL217" s="264"/>
      <c r="AM217" s="264"/>
      <c r="AN217" s="264">
        <v>4</v>
      </c>
      <c r="AO217" s="264" t="s">
        <v>651</v>
      </c>
      <c r="AP217" s="264" t="s">
        <v>657</v>
      </c>
      <c r="AQ217" s="264"/>
      <c r="AR217" s="264"/>
      <c r="AS217" s="264">
        <v>3</v>
      </c>
      <c r="AT217" s="264" t="s">
        <v>657</v>
      </c>
      <c r="AU217" s="264" t="s">
        <v>742</v>
      </c>
      <c r="AV217" s="264"/>
      <c r="AW217" s="264" t="s">
        <v>650</v>
      </c>
      <c r="AX217" s="264"/>
      <c r="AY217" s="264"/>
      <c r="AZ217" s="264"/>
      <c r="BA217" s="264">
        <v>4</v>
      </c>
      <c r="BB217" s="264"/>
      <c r="BC217" s="264" t="s">
        <v>693</v>
      </c>
      <c r="BD217" s="264">
        <v>3</v>
      </c>
      <c r="BE217" s="264"/>
      <c r="BF217" s="264" t="s">
        <v>676</v>
      </c>
      <c r="BG217" s="264">
        <v>4</v>
      </c>
      <c r="BH217" s="264" t="s">
        <v>669</v>
      </c>
      <c r="BI217" s="264" t="s">
        <v>693</v>
      </c>
      <c r="BJ217" s="264"/>
      <c r="BK217" s="264"/>
      <c r="BL217" s="264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>
        <v>1</v>
      </c>
      <c r="CK217" s="264"/>
      <c r="CL217" s="264"/>
      <c r="CM217" s="264"/>
      <c r="CN217" s="264"/>
      <c r="CO217" s="264"/>
      <c r="CP217" s="264"/>
      <c r="CQ217" s="264"/>
      <c r="CR217" s="264">
        <v>1</v>
      </c>
      <c r="CS217" s="264"/>
      <c r="CT217" s="264" t="s">
        <v>651</v>
      </c>
      <c r="CU217" s="264">
        <v>4</v>
      </c>
      <c r="CV217" s="264">
        <v>1</v>
      </c>
      <c r="CW217" s="264">
        <v>1</v>
      </c>
      <c r="CX217" s="264" t="s">
        <v>657</v>
      </c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 t="s">
        <v>650</v>
      </c>
      <c r="DZ217" s="264"/>
      <c r="EA217" s="264" t="s">
        <v>650</v>
      </c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 t="s">
        <v>649</v>
      </c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 t="s">
        <v>652</v>
      </c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 t="s">
        <v>37</v>
      </c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 t="s">
        <v>653</v>
      </c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 t="s">
        <v>654</v>
      </c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 t="s">
        <v>649</v>
      </c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 t="s">
        <v>655</v>
      </c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 t="s">
        <v>37</v>
      </c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>
        <v>45</v>
      </c>
      <c r="D219" s="264"/>
      <c r="E219" s="264">
        <v>48</v>
      </c>
      <c r="F219" s="264"/>
      <c r="G219" s="264">
        <v>45</v>
      </c>
      <c r="H219" s="264"/>
      <c r="I219" s="264">
        <v>48</v>
      </c>
      <c r="J219" s="264"/>
      <c r="K219" s="264">
        <v>2</v>
      </c>
      <c r="L219" s="264"/>
      <c r="M219" s="264"/>
      <c r="N219" s="264" t="s">
        <v>1133</v>
      </c>
      <c r="O219" s="264">
        <v>8</v>
      </c>
      <c r="P219" s="264"/>
      <c r="Q219" s="264">
        <v>2</v>
      </c>
      <c r="R219" s="264"/>
      <c r="S219" s="264"/>
      <c r="T219" s="264"/>
      <c r="U219" s="264" t="s">
        <v>651</v>
      </c>
      <c r="V219" s="264"/>
      <c r="W219" s="264"/>
      <c r="X219" s="264">
        <v>23</v>
      </c>
      <c r="Y219" s="264"/>
      <c r="Z219" s="264">
        <v>22</v>
      </c>
      <c r="AA219" s="264"/>
      <c r="AB219" s="264">
        <v>1</v>
      </c>
      <c r="AC219" s="264" t="s">
        <v>733</v>
      </c>
      <c r="AD219" s="264">
        <v>22</v>
      </c>
      <c r="AE219" s="264"/>
      <c r="AF219" s="264">
        <v>26</v>
      </c>
      <c r="AG219" s="264"/>
      <c r="AH219" s="264">
        <v>1</v>
      </c>
      <c r="AI219" s="264" t="s">
        <v>1054</v>
      </c>
      <c r="AJ219" s="264">
        <v>6</v>
      </c>
      <c r="AK219" s="264"/>
      <c r="AL219" s="264"/>
      <c r="AM219" s="264"/>
      <c r="AN219" s="264">
        <v>12</v>
      </c>
      <c r="AO219" s="264"/>
      <c r="AP219" s="66">
        <v>43672</v>
      </c>
      <c r="AQ219" s="264">
        <v>1</v>
      </c>
      <c r="AR219" s="264"/>
      <c r="AS219" s="264">
        <v>4</v>
      </c>
      <c r="AT219" s="264"/>
      <c r="AU219" s="66">
        <v>43716</v>
      </c>
      <c r="AV219" s="264">
        <v>3</v>
      </c>
      <c r="AW219" s="264"/>
      <c r="AX219" s="264"/>
      <c r="AY219" s="264"/>
      <c r="AZ219" s="264"/>
      <c r="BA219" s="264">
        <v>14</v>
      </c>
      <c r="BB219" s="264"/>
      <c r="BC219" s="264" t="s">
        <v>823</v>
      </c>
      <c r="BD219" s="264">
        <v>18</v>
      </c>
      <c r="BE219" s="264"/>
      <c r="BF219" s="264" t="s">
        <v>742</v>
      </c>
      <c r="BG219" s="264">
        <v>25</v>
      </c>
      <c r="BH219" s="264"/>
      <c r="BI219" s="264" t="s">
        <v>1104</v>
      </c>
      <c r="BJ219" s="264">
        <v>1</v>
      </c>
      <c r="BK219" s="264"/>
      <c r="BL219" s="66">
        <v>43467</v>
      </c>
      <c r="BM219" s="264">
        <v>1</v>
      </c>
      <c r="BN219" s="264" t="s">
        <v>651</v>
      </c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>
        <v>2</v>
      </c>
      <c r="BY219" s="264">
        <v>1</v>
      </c>
      <c r="BZ219" s="264"/>
      <c r="CA219" s="264" t="s">
        <v>651</v>
      </c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>
        <v>15</v>
      </c>
      <c r="CV219" s="264">
        <v>8</v>
      </c>
      <c r="CW219" s="264">
        <v>1</v>
      </c>
      <c r="CX219" s="264" t="s">
        <v>675</v>
      </c>
      <c r="CY219" s="264">
        <v>1</v>
      </c>
      <c r="CZ219" s="264"/>
      <c r="DA219" s="264"/>
      <c r="DB219" s="264"/>
      <c r="DC219" s="264"/>
      <c r="DD219" s="264"/>
      <c r="DE219" s="264"/>
      <c r="DF219" s="264">
        <v>6</v>
      </c>
      <c r="DG219" s="264">
        <v>17</v>
      </c>
      <c r="DH219" s="264">
        <v>1</v>
      </c>
      <c r="DI219" s="264" t="s">
        <v>845</v>
      </c>
      <c r="DJ219" s="264"/>
      <c r="DK219" s="264"/>
      <c r="DL219" s="264"/>
      <c r="DM219" s="264"/>
      <c r="DN219" s="264">
        <v>1</v>
      </c>
      <c r="DO219" s="264"/>
      <c r="DP219" s="264"/>
      <c r="DQ219" s="264"/>
      <c r="DR219" s="264">
        <v>2</v>
      </c>
      <c r="DS219" s="264"/>
      <c r="DT219" s="264">
        <v>2</v>
      </c>
      <c r="DU219" s="264"/>
      <c r="DV219" s="264">
        <v>2</v>
      </c>
      <c r="DW219" s="264"/>
      <c r="DX219" s="264">
        <v>16</v>
      </c>
      <c r="DY219" s="264"/>
      <c r="DZ219" s="264">
        <v>15</v>
      </c>
      <c r="EA219" s="264"/>
      <c r="EB219" s="264"/>
      <c r="EC219" s="264"/>
      <c r="ED219" s="264" t="s">
        <v>796</v>
      </c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>
        <v>54</v>
      </c>
      <c r="D220" s="264" t="s">
        <v>690</v>
      </c>
      <c r="E220" s="264">
        <v>31</v>
      </c>
      <c r="F220" s="264" t="s">
        <v>1440</v>
      </c>
      <c r="G220" s="264">
        <v>54</v>
      </c>
      <c r="H220" s="264" t="s">
        <v>690</v>
      </c>
      <c r="I220" s="264">
        <v>31</v>
      </c>
      <c r="J220" s="264" t="s">
        <v>1440</v>
      </c>
      <c r="K220" s="264">
        <v>8</v>
      </c>
      <c r="L220" s="264" t="s">
        <v>731</v>
      </c>
      <c r="M220" s="264"/>
      <c r="N220" s="264" t="s">
        <v>1294</v>
      </c>
      <c r="O220" s="264">
        <v>9</v>
      </c>
      <c r="P220" s="66">
        <v>43597</v>
      </c>
      <c r="Q220" s="264">
        <v>10</v>
      </c>
      <c r="R220" s="264" t="s">
        <v>756</v>
      </c>
      <c r="S220" s="264">
        <v>3</v>
      </c>
      <c r="T220" s="264" t="s">
        <v>651</v>
      </c>
      <c r="U220" s="264" t="s">
        <v>1009</v>
      </c>
      <c r="V220" s="264"/>
      <c r="W220" s="264"/>
      <c r="X220" s="264">
        <v>21</v>
      </c>
      <c r="Y220" s="264" t="s">
        <v>708</v>
      </c>
      <c r="Z220" s="264">
        <v>13</v>
      </c>
      <c r="AA220" s="264" t="s">
        <v>721</v>
      </c>
      <c r="AB220" s="264">
        <v>1</v>
      </c>
      <c r="AC220" s="264" t="s">
        <v>679</v>
      </c>
      <c r="AD220" s="264">
        <v>33</v>
      </c>
      <c r="AE220" s="264" t="s">
        <v>657</v>
      </c>
      <c r="AF220" s="264">
        <v>18</v>
      </c>
      <c r="AG220" s="264" t="s">
        <v>683</v>
      </c>
      <c r="AH220" s="264">
        <v>7</v>
      </c>
      <c r="AI220" s="264" t="s">
        <v>858</v>
      </c>
      <c r="AJ220" s="264">
        <v>6</v>
      </c>
      <c r="AK220" s="264"/>
      <c r="AL220" s="264"/>
      <c r="AM220" s="264"/>
      <c r="AN220" s="264">
        <v>10</v>
      </c>
      <c r="AO220" s="264" t="s">
        <v>692</v>
      </c>
      <c r="AP220" s="66">
        <v>43603</v>
      </c>
      <c r="AQ220" s="264"/>
      <c r="AR220" s="264" t="s">
        <v>650</v>
      </c>
      <c r="AS220" s="264">
        <v>6</v>
      </c>
      <c r="AT220" s="264" t="s">
        <v>657</v>
      </c>
      <c r="AU220" s="66">
        <v>43476</v>
      </c>
      <c r="AV220" s="264">
        <v>4</v>
      </c>
      <c r="AW220" s="264" t="s">
        <v>714</v>
      </c>
      <c r="AX220" s="264"/>
      <c r="AY220" s="264"/>
      <c r="AZ220" s="264"/>
      <c r="BA220" s="264">
        <v>24</v>
      </c>
      <c r="BB220" s="264" t="s">
        <v>837</v>
      </c>
      <c r="BC220" s="264" t="s">
        <v>1037</v>
      </c>
      <c r="BD220" s="264">
        <v>19</v>
      </c>
      <c r="BE220" s="66">
        <v>43621</v>
      </c>
      <c r="BF220" s="264" t="s">
        <v>1082</v>
      </c>
      <c r="BG220" s="264">
        <v>29</v>
      </c>
      <c r="BH220" s="264" t="s">
        <v>1015</v>
      </c>
      <c r="BI220" s="264" t="s">
        <v>1346</v>
      </c>
      <c r="BJ220" s="264">
        <v>1</v>
      </c>
      <c r="BK220" s="264"/>
      <c r="BL220" s="66">
        <v>43499</v>
      </c>
      <c r="BM220" s="264">
        <v>1</v>
      </c>
      <c r="BN220" s="264" t="s">
        <v>651</v>
      </c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>
        <v>1</v>
      </c>
      <c r="CG220" s="264"/>
      <c r="CH220" s="264"/>
      <c r="CI220" s="264"/>
      <c r="CJ220" s="264">
        <v>3</v>
      </c>
      <c r="CK220" s="264">
        <v>1</v>
      </c>
      <c r="CL220" s="264"/>
      <c r="CM220" s="264" t="s">
        <v>651</v>
      </c>
      <c r="CN220" s="264"/>
      <c r="CO220" s="264"/>
      <c r="CP220" s="264"/>
      <c r="CQ220" s="264"/>
      <c r="CR220" s="264"/>
      <c r="CS220" s="264"/>
      <c r="CT220" s="264"/>
      <c r="CU220" s="264">
        <v>15</v>
      </c>
      <c r="CV220" s="264">
        <v>16</v>
      </c>
      <c r="CW220" s="264">
        <v>5</v>
      </c>
      <c r="CX220" s="264" t="s">
        <v>1299</v>
      </c>
      <c r="CY220" s="264"/>
      <c r="CZ220" s="264">
        <v>3</v>
      </c>
      <c r="DA220" s="264"/>
      <c r="DB220" s="264" t="s">
        <v>651</v>
      </c>
      <c r="DC220" s="264">
        <v>1</v>
      </c>
      <c r="DD220" s="264"/>
      <c r="DE220" s="264"/>
      <c r="DF220" s="264">
        <v>13</v>
      </c>
      <c r="DG220" s="264">
        <v>1</v>
      </c>
      <c r="DH220" s="264">
        <v>2</v>
      </c>
      <c r="DI220" s="264" t="s">
        <v>714</v>
      </c>
      <c r="DJ220" s="264"/>
      <c r="DK220" s="264"/>
      <c r="DL220" s="264"/>
      <c r="DM220" s="264"/>
      <c r="DN220" s="264"/>
      <c r="DO220" s="264"/>
      <c r="DP220" s="264"/>
      <c r="DQ220" s="264"/>
      <c r="DR220" s="264">
        <v>4</v>
      </c>
      <c r="DS220" s="264" t="s">
        <v>651</v>
      </c>
      <c r="DT220" s="264">
        <v>3</v>
      </c>
      <c r="DU220" s="264" t="s">
        <v>657</v>
      </c>
      <c r="DV220" s="264">
        <v>2</v>
      </c>
      <c r="DW220" s="264"/>
      <c r="DX220" s="264"/>
      <c r="DY220" s="264" t="s">
        <v>650</v>
      </c>
      <c r="DZ220" s="264"/>
      <c r="EA220" s="264" t="s">
        <v>650</v>
      </c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>
        <v>1</v>
      </c>
      <c r="ER220" s="264"/>
      <c r="ES220" s="264">
        <v>1</v>
      </c>
      <c r="ET220" s="264"/>
      <c r="EU220" s="264"/>
    </row>
    <row r="221" spans="1:151">
      <c r="A221" s="160"/>
      <c r="B221" s="1" t="s">
        <v>1</v>
      </c>
      <c r="C221" s="264" t="s">
        <v>649</v>
      </c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 t="s">
        <v>652</v>
      </c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 t="s">
        <v>37</v>
      </c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 t="s">
        <v>653</v>
      </c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 t="s">
        <v>654</v>
      </c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 t="s">
        <v>649</v>
      </c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 t="s">
        <v>655</v>
      </c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 t="s">
        <v>37</v>
      </c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>
        <v>31</v>
      </c>
      <c r="D222" s="264"/>
      <c r="E222" s="264">
        <v>17</v>
      </c>
      <c r="F222" s="264"/>
      <c r="G222" s="264">
        <v>31</v>
      </c>
      <c r="H222" s="264"/>
      <c r="I222" s="264">
        <v>17</v>
      </c>
      <c r="J222" s="264"/>
      <c r="K222" s="264">
        <v>4</v>
      </c>
      <c r="L222" s="264"/>
      <c r="M222" s="264"/>
      <c r="N222" s="264" t="s">
        <v>825</v>
      </c>
      <c r="O222" s="264">
        <v>7</v>
      </c>
      <c r="P222" s="264"/>
      <c r="Q222" s="264">
        <v>6</v>
      </c>
      <c r="R222" s="264"/>
      <c r="S222" s="264"/>
      <c r="T222" s="264"/>
      <c r="U222" s="264" t="s">
        <v>651</v>
      </c>
      <c r="V222" s="264"/>
      <c r="W222" s="264"/>
      <c r="X222" s="264">
        <v>13</v>
      </c>
      <c r="Y222" s="264"/>
      <c r="Z222" s="264">
        <v>9</v>
      </c>
      <c r="AA222" s="264"/>
      <c r="AB222" s="264"/>
      <c r="AC222" s="264" t="s">
        <v>651</v>
      </c>
      <c r="AD222" s="264">
        <v>18</v>
      </c>
      <c r="AE222" s="264"/>
      <c r="AF222" s="264">
        <v>8</v>
      </c>
      <c r="AG222" s="264"/>
      <c r="AH222" s="264">
        <v>4</v>
      </c>
      <c r="AI222" s="264" t="s">
        <v>667</v>
      </c>
      <c r="AJ222" s="264">
        <v>4</v>
      </c>
      <c r="AK222" s="264"/>
      <c r="AL222" s="264"/>
      <c r="AM222" s="264"/>
      <c r="AN222" s="264">
        <v>6</v>
      </c>
      <c r="AO222" s="264"/>
      <c r="AP222" s="66">
        <v>43574</v>
      </c>
      <c r="AQ222" s="264">
        <v>2</v>
      </c>
      <c r="AR222" s="264"/>
      <c r="AS222" s="264">
        <v>4</v>
      </c>
      <c r="AT222" s="264"/>
      <c r="AU222" s="66">
        <v>43720</v>
      </c>
      <c r="AV222" s="264">
        <v>2</v>
      </c>
      <c r="AW222" s="264"/>
      <c r="AX222" s="264"/>
      <c r="AY222" s="264"/>
      <c r="AZ222" s="264"/>
      <c r="BA222" s="264">
        <v>12</v>
      </c>
      <c r="BB222" s="264"/>
      <c r="BC222" s="264" t="s">
        <v>807</v>
      </c>
      <c r="BD222" s="264">
        <v>9</v>
      </c>
      <c r="BE222" s="264"/>
      <c r="BF222" s="264" t="s">
        <v>965</v>
      </c>
      <c r="BG222" s="264">
        <v>14</v>
      </c>
      <c r="BH222" s="264"/>
      <c r="BI222" s="264" t="s">
        <v>759</v>
      </c>
      <c r="BJ222" s="264"/>
      <c r="BK222" s="264"/>
      <c r="BL222" s="264"/>
      <c r="BM222" s="264"/>
      <c r="BN222" s="264"/>
      <c r="BO222" s="264"/>
      <c r="BP222" s="264">
        <v>1</v>
      </c>
      <c r="BQ222" s="264">
        <v>1</v>
      </c>
      <c r="BR222" s="264"/>
      <c r="BS222" s="264" t="s">
        <v>651</v>
      </c>
      <c r="BT222" s="264"/>
      <c r="BU222" s="264">
        <v>1</v>
      </c>
      <c r="BV222" s="264"/>
      <c r="BW222" s="264" t="s">
        <v>651</v>
      </c>
      <c r="BX222" s="264">
        <v>2</v>
      </c>
      <c r="BY222" s="264">
        <v>1</v>
      </c>
      <c r="BZ222" s="264"/>
      <c r="CA222" s="264" t="s">
        <v>651</v>
      </c>
      <c r="CB222" s="264">
        <v>1</v>
      </c>
      <c r="CC222" s="264"/>
      <c r="CD222" s="264"/>
      <c r="CE222" s="264"/>
      <c r="CF222" s="264"/>
      <c r="CG222" s="264"/>
      <c r="CH222" s="264"/>
      <c r="CI222" s="264"/>
      <c r="CJ222" s="264">
        <v>2</v>
      </c>
      <c r="CK222" s="264"/>
      <c r="CL222" s="264"/>
      <c r="CM222" s="264"/>
      <c r="CN222" s="264"/>
      <c r="CO222" s="264"/>
      <c r="CP222" s="264"/>
      <c r="CQ222" s="264">
        <v>1</v>
      </c>
      <c r="CR222" s="264"/>
      <c r="CS222" s="264"/>
      <c r="CT222" s="264"/>
      <c r="CU222" s="264">
        <v>8</v>
      </c>
      <c r="CV222" s="264">
        <v>1</v>
      </c>
      <c r="CW222" s="264">
        <v>2</v>
      </c>
      <c r="CX222" s="264" t="s">
        <v>714</v>
      </c>
      <c r="CY222" s="264"/>
      <c r="CZ222" s="264"/>
      <c r="DA222" s="264"/>
      <c r="DB222" s="264"/>
      <c r="DC222" s="264"/>
      <c r="DD222" s="264"/>
      <c r="DE222" s="264">
        <v>1</v>
      </c>
      <c r="DF222" s="264">
        <v>3</v>
      </c>
      <c r="DG222" s="264"/>
      <c r="DH222" s="264">
        <v>1</v>
      </c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>
        <v>4</v>
      </c>
      <c r="DS222" s="264"/>
      <c r="DT222" s="264">
        <v>4</v>
      </c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>
        <v>4</v>
      </c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>
        <v>24</v>
      </c>
      <c r="D223" s="264" t="s">
        <v>864</v>
      </c>
      <c r="E223" s="264">
        <v>21</v>
      </c>
      <c r="F223" s="66">
        <v>43608</v>
      </c>
      <c r="G223" s="264">
        <v>24</v>
      </c>
      <c r="H223" s="264" t="s">
        <v>864</v>
      </c>
      <c r="I223" s="264">
        <v>21</v>
      </c>
      <c r="J223" s="66">
        <v>43608</v>
      </c>
      <c r="K223" s="264">
        <v>5</v>
      </c>
      <c r="L223" s="264" t="s">
        <v>688</v>
      </c>
      <c r="M223" s="264"/>
      <c r="N223" s="264" t="s">
        <v>1288</v>
      </c>
      <c r="O223" s="264">
        <v>2</v>
      </c>
      <c r="P223" s="264" t="s">
        <v>703</v>
      </c>
      <c r="Q223" s="264">
        <v>5</v>
      </c>
      <c r="R223" s="264" t="s">
        <v>692</v>
      </c>
      <c r="S223" s="264"/>
      <c r="T223" s="264"/>
      <c r="U223" s="264" t="s">
        <v>651</v>
      </c>
      <c r="V223" s="264"/>
      <c r="W223" s="264"/>
      <c r="X223" s="264">
        <v>13</v>
      </c>
      <c r="Y223" s="264"/>
      <c r="Z223" s="264">
        <v>9</v>
      </c>
      <c r="AA223" s="264"/>
      <c r="AB223" s="264">
        <v>1</v>
      </c>
      <c r="AC223" s="264" t="s">
        <v>749</v>
      </c>
      <c r="AD223" s="264">
        <v>11</v>
      </c>
      <c r="AE223" s="264" t="s">
        <v>1286</v>
      </c>
      <c r="AF223" s="264">
        <v>12</v>
      </c>
      <c r="AG223" s="264" t="s">
        <v>657</v>
      </c>
      <c r="AH223" s="264">
        <v>4</v>
      </c>
      <c r="AI223" s="264" t="s">
        <v>734</v>
      </c>
      <c r="AJ223" s="264">
        <v>9</v>
      </c>
      <c r="AK223" s="264" t="s">
        <v>730</v>
      </c>
      <c r="AL223" s="264"/>
      <c r="AM223" s="264"/>
      <c r="AN223" s="264">
        <v>4</v>
      </c>
      <c r="AO223" s="264" t="s">
        <v>677</v>
      </c>
      <c r="AP223" s="66">
        <v>43662</v>
      </c>
      <c r="AQ223" s="264">
        <v>1</v>
      </c>
      <c r="AR223" s="264" t="s">
        <v>678</v>
      </c>
      <c r="AS223" s="264">
        <v>3</v>
      </c>
      <c r="AT223" s="264" t="s">
        <v>672</v>
      </c>
      <c r="AU223" s="66">
        <v>43597</v>
      </c>
      <c r="AV223" s="264">
        <v>2</v>
      </c>
      <c r="AW223" s="264"/>
      <c r="AX223" s="264"/>
      <c r="AY223" s="264"/>
      <c r="AZ223" s="264"/>
      <c r="BA223" s="264">
        <v>13</v>
      </c>
      <c r="BB223" s="66">
        <v>43532</v>
      </c>
      <c r="BC223" s="264" t="s">
        <v>709</v>
      </c>
      <c r="BD223" s="264">
        <v>8</v>
      </c>
      <c r="BE223" s="264" t="s">
        <v>875</v>
      </c>
      <c r="BF223" s="264" t="s">
        <v>793</v>
      </c>
      <c r="BG223" s="264">
        <v>12</v>
      </c>
      <c r="BH223" s="264" t="s">
        <v>673</v>
      </c>
      <c r="BI223" s="264" t="s">
        <v>744</v>
      </c>
      <c r="BJ223" s="264">
        <v>1</v>
      </c>
      <c r="BK223" s="264" t="s">
        <v>651</v>
      </c>
      <c r="BL223" s="66">
        <v>43681</v>
      </c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>
        <v>2</v>
      </c>
      <c r="BZ223" s="264"/>
      <c r="CA223" s="264" t="s">
        <v>651</v>
      </c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>
        <v>7</v>
      </c>
      <c r="CV223" s="264">
        <v>3</v>
      </c>
      <c r="CW223" s="264">
        <v>3</v>
      </c>
      <c r="CX223" s="264" t="s">
        <v>657</v>
      </c>
      <c r="CY223" s="264"/>
      <c r="CZ223" s="264"/>
      <c r="DA223" s="264"/>
      <c r="DB223" s="264"/>
      <c r="DC223" s="264"/>
      <c r="DD223" s="264"/>
      <c r="DE223" s="264"/>
      <c r="DF223" s="264">
        <v>2</v>
      </c>
      <c r="DG223" s="264"/>
      <c r="DH223" s="264">
        <v>1</v>
      </c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 t="s">
        <v>650</v>
      </c>
      <c r="DT223" s="264"/>
      <c r="DU223" s="264" t="s">
        <v>650</v>
      </c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 t="s">
        <v>649</v>
      </c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 t="s">
        <v>652</v>
      </c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 t="s">
        <v>37</v>
      </c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 t="s">
        <v>653</v>
      </c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 t="s">
        <v>654</v>
      </c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 t="s">
        <v>649</v>
      </c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 t="s">
        <v>655</v>
      </c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 t="s">
        <v>37</v>
      </c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>
        <v>16</v>
      </c>
      <c r="D225" s="264"/>
      <c r="E225" s="264">
        <v>20</v>
      </c>
      <c r="F225" s="264"/>
      <c r="G225" s="264">
        <v>16</v>
      </c>
      <c r="H225" s="264"/>
      <c r="I225" s="264">
        <v>20</v>
      </c>
      <c r="J225" s="264"/>
      <c r="K225" s="264">
        <v>3</v>
      </c>
      <c r="L225" s="264"/>
      <c r="M225" s="264"/>
      <c r="N225" s="264" t="s">
        <v>804</v>
      </c>
      <c r="O225" s="264">
        <v>3</v>
      </c>
      <c r="P225" s="264"/>
      <c r="Q225" s="264">
        <v>4</v>
      </c>
      <c r="R225" s="264"/>
      <c r="S225" s="264"/>
      <c r="T225" s="264"/>
      <c r="U225" s="264" t="s">
        <v>651</v>
      </c>
      <c r="V225" s="264">
        <v>1</v>
      </c>
      <c r="W225" s="66">
        <v>43557</v>
      </c>
      <c r="X225" s="264">
        <v>5</v>
      </c>
      <c r="Y225" s="264"/>
      <c r="Z225" s="264">
        <v>7</v>
      </c>
      <c r="AA225" s="264"/>
      <c r="AB225" s="264"/>
      <c r="AC225" s="264" t="s">
        <v>651</v>
      </c>
      <c r="AD225" s="264">
        <v>11</v>
      </c>
      <c r="AE225" s="264"/>
      <c r="AF225" s="264">
        <v>13</v>
      </c>
      <c r="AG225" s="264"/>
      <c r="AH225" s="264">
        <v>3</v>
      </c>
      <c r="AI225" s="264" t="s">
        <v>868</v>
      </c>
      <c r="AJ225" s="264"/>
      <c r="AK225" s="264"/>
      <c r="AL225" s="264"/>
      <c r="AM225" s="264"/>
      <c r="AN225" s="264">
        <v>3</v>
      </c>
      <c r="AO225" s="264"/>
      <c r="AP225" s="66">
        <v>43695</v>
      </c>
      <c r="AQ225" s="264"/>
      <c r="AR225" s="264"/>
      <c r="AS225" s="264">
        <v>3</v>
      </c>
      <c r="AT225" s="264"/>
      <c r="AU225" s="66">
        <v>43695</v>
      </c>
      <c r="AV225" s="264"/>
      <c r="AW225" s="264"/>
      <c r="AX225" s="264">
        <v>4</v>
      </c>
      <c r="AY225" s="264"/>
      <c r="AZ225" s="264" t="s">
        <v>690</v>
      </c>
      <c r="BA225" s="264">
        <v>12</v>
      </c>
      <c r="BB225" s="264"/>
      <c r="BC225" s="264" t="s">
        <v>676</v>
      </c>
      <c r="BD225" s="264">
        <v>11</v>
      </c>
      <c r="BE225" s="264"/>
      <c r="BF225" s="264" t="s">
        <v>1051</v>
      </c>
      <c r="BG225" s="264">
        <v>13</v>
      </c>
      <c r="BH225" s="264"/>
      <c r="BI225" s="264" t="s">
        <v>702</v>
      </c>
      <c r="BJ225" s="264">
        <v>4</v>
      </c>
      <c r="BK225" s="264"/>
      <c r="BL225" s="264" t="s">
        <v>690</v>
      </c>
      <c r="BM225" s="264">
        <v>3</v>
      </c>
      <c r="BN225" s="264" t="s">
        <v>734</v>
      </c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>
        <v>1</v>
      </c>
      <c r="BZ225" s="264"/>
      <c r="CA225" s="264" t="s">
        <v>651</v>
      </c>
      <c r="CB225" s="264"/>
      <c r="CC225" s="264"/>
      <c r="CD225" s="264"/>
      <c r="CE225" s="264"/>
      <c r="CF225" s="264"/>
      <c r="CG225" s="264"/>
      <c r="CH225" s="264"/>
      <c r="CI225" s="264"/>
      <c r="CJ225" s="264">
        <v>1</v>
      </c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>
        <v>8</v>
      </c>
      <c r="CV225" s="264">
        <v>11</v>
      </c>
      <c r="CW225" s="264">
        <v>2</v>
      </c>
      <c r="CX225" s="264" t="s">
        <v>814</v>
      </c>
      <c r="CY225" s="264">
        <v>2</v>
      </c>
      <c r="CZ225" s="264">
        <v>1</v>
      </c>
      <c r="DA225" s="264"/>
      <c r="DB225" s="264" t="s">
        <v>651</v>
      </c>
      <c r="DC225" s="264"/>
      <c r="DD225" s="264"/>
      <c r="DE225" s="264"/>
      <c r="DF225" s="264">
        <v>1</v>
      </c>
      <c r="DG225" s="264">
        <v>2</v>
      </c>
      <c r="DH225" s="264">
        <v>1</v>
      </c>
      <c r="DI225" s="264" t="s">
        <v>667</v>
      </c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>
        <v>1</v>
      </c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>
        <v>33</v>
      </c>
      <c r="D226" s="264" t="s">
        <v>1443</v>
      </c>
      <c r="E226" s="264">
        <v>18</v>
      </c>
      <c r="F226" s="264" t="s">
        <v>758</v>
      </c>
      <c r="G226" s="264">
        <v>33</v>
      </c>
      <c r="H226" s="264" t="s">
        <v>1443</v>
      </c>
      <c r="I226" s="264">
        <v>18</v>
      </c>
      <c r="J226" s="264" t="s">
        <v>758</v>
      </c>
      <c r="K226" s="264">
        <v>6</v>
      </c>
      <c r="L226" s="264" t="s">
        <v>651</v>
      </c>
      <c r="M226" s="264"/>
      <c r="N226" s="264" t="s">
        <v>734</v>
      </c>
      <c r="O226" s="264">
        <v>2</v>
      </c>
      <c r="P226" s="264" t="s">
        <v>677</v>
      </c>
      <c r="Q226" s="264">
        <v>3</v>
      </c>
      <c r="R226" s="264" t="s">
        <v>672</v>
      </c>
      <c r="S226" s="264">
        <v>1</v>
      </c>
      <c r="T226" s="264" t="s">
        <v>651</v>
      </c>
      <c r="U226" s="264" t="s">
        <v>734</v>
      </c>
      <c r="V226" s="264">
        <v>1</v>
      </c>
      <c r="W226" s="66">
        <v>43617</v>
      </c>
      <c r="X226" s="264">
        <v>25</v>
      </c>
      <c r="Y226" s="264" t="s">
        <v>756</v>
      </c>
      <c r="Z226" s="264">
        <v>12</v>
      </c>
      <c r="AA226" s="264" t="s">
        <v>837</v>
      </c>
      <c r="AB226" s="264">
        <v>3</v>
      </c>
      <c r="AC226" s="264" t="s">
        <v>693</v>
      </c>
      <c r="AD226" s="264">
        <v>8</v>
      </c>
      <c r="AE226" s="264" t="s">
        <v>851</v>
      </c>
      <c r="AF226" s="264">
        <v>6</v>
      </c>
      <c r="AG226" s="264" t="s">
        <v>1044</v>
      </c>
      <c r="AH226" s="264">
        <v>3</v>
      </c>
      <c r="AI226" s="264" t="s">
        <v>667</v>
      </c>
      <c r="AJ226" s="264">
        <v>15</v>
      </c>
      <c r="AK226" s="264" t="s">
        <v>651</v>
      </c>
      <c r="AL226" s="264"/>
      <c r="AM226" s="264"/>
      <c r="AN226" s="264">
        <v>7</v>
      </c>
      <c r="AO226" s="264" t="s">
        <v>746</v>
      </c>
      <c r="AP226" s="66">
        <v>43517</v>
      </c>
      <c r="AQ226" s="264"/>
      <c r="AR226" s="264"/>
      <c r="AS226" s="264">
        <v>6</v>
      </c>
      <c r="AT226" s="264" t="s">
        <v>651</v>
      </c>
      <c r="AU226" s="66">
        <v>43514</v>
      </c>
      <c r="AV226" s="264">
        <v>1</v>
      </c>
      <c r="AW226" s="264" t="s">
        <v>651</v>
      </c>
      <c r="AX226" s="264"/>
      <c r="AY226" s="264" t="s">
        <v>650</v>
      </c>
      <c r="AZ226" s="264"/>
      <c r="BA226" s="264">
        <v>11</v>
      </c>
      <c r="BB226" s="264" t="s">
        <v>876</v>
      </c>
      <c r="BC226" s="264" t="s">
        <v>975</v>
      </c>
      <c r="BD226" s="264">
        <v>6</v>
      </c>
      <c r="BE226" s="264" t="s">
        <v>862</v>
      </c>
      <c r="BF226" s="264" t="s">
        <v>714</v>
      </c>
      <c r="BG226" s="264">
        <v>14</v>
      </c>
      <c r="BH226" s="66">
        <v>43653</v>
      </c>
      <c r="BI226" s="264" t="s">
        <v>1006</v>
      </c>
      <c r="BJ226" s="264">
        <v>2</v>
      </c>
      <c r="BK226" s="264" t="s">
        <v>678</v>
      </c>
      <c r="BL226" s="66">
        <v>43476</v>
      </c>
      <c r="BM226" s="264">
        <v>2</v>
      </c>
      <c r="BN226" s="264" t="s">
        <v>651</v>
      </c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>
        <v>1</v>
      </c>
      <c r="BZ226" s="264"/>
      <c r="CA226" s="264" t="s">
        <v>651</v>
      </c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>
        <v>1</v>
      </c>
      <c r="CT226" s="264"/>
      <c r="CU226" s="264">
        <v>8</v>
      </c>
      <c r="CV226" s="264">
        <v>3</v>
      </c>
      <c r="CW226" s="264">
        <v>2</v>
      </c>
      <c r="CX226" s="264" t="s">
        <v>676</v>
      </c>
      <c r="CY226" s="264">
        <v>1</v>
      </c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>
        <v>1</v>
      </c>
      <c r="DO226" s="264">
        <v>1</v>
      </c>
      <c r="DP226" s="264"/>
      <c r="DQ226" s="264" t="s">
        <v>651</v>
      </c>
      <c r="DR226" s="264"/>
      <c r="DS226" s="264"/>
      <c r="DT226" s="264"/>
      <c r="DU226" s="264"/>
      <c r="DV226" s="264"/>
      <c r="DW226" s="264"/>
      <c r="DX226" s="264"/>
      <c r="DY226" s="264" t="s">
        <v>650</v>
      </c>
      <c r="DZ226" s="264"/>
      <c r="EA226" s="264"/>
      <c r="EB226" s="264"/>
      <c r="EC226" s="264"/>
      <c r="ED226" s="264" t="s">
        <v>858</v>
      </c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 t="s">
        <v>649</v>
      </c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 t="s">
        <v>652</v>
      </c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 t="s">
        <v>37</v>
      </c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 t="s">
        <v>653</v>
      </c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 t="s">
        <v>654</v>
      </c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 t="s">
        <v>649</v>
      </c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 t="s">
        <v>655</v>
      </c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 t="s">
        <v>37</v>
      </c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>
        <v>9</v>
      </c>
      <c r="D228" s="264"/>
      <c r="E228" s="264">
        <v>12</v>
      </c>
      <c r="F228" s="264"/>
      <c r="G228" s="264">
        <v>9</v>
      </c>
      <c r="H228" s="264"/>
      <c r="I228" s="264">
        <v>12</v>
      </c>
      <c r="J228" s="264"/>
      <c r="K228" s="264">
        <v>3</v>
      </c>
      <c r="L228" s="264"/>
      <c r="M228" s="264"/>
      <c r="N228" s="264" t="s">
        <v>693</v>
      </c>
      <c r="O228" s="264">
        <v>2</v>
      </c>
      <c r="P228" s="264"/>
      <c r="Q228" s="264">
        <v>2</v>
      </c>
      <c r="R228" s="264"/>
      <c r="S228" s="264"/>
      <c r="T228" s="264"/>
      <c r="U228" s="264" t="s">
        <v>651</v>
      </c>
      <c r="V228" s="264"/>
      <c r="W228" s="264"/>
      <c r="X228" s="264">
        <v>4</v>
      </c>
      <c r="Y228" s="264"/>
      <c r="Z228" s="264">
        <v>5</v>
      </c>
      <c r="AA228" s="264"/>
      <c r="AB228" s="264"/>
      <c r="AC228" s="264" t="s">
        <v>651</v>
      </c>
      <c r="AD228" s="264">
        <v>5</v>
      </c>
      <c r="AE228" s="264"/>
      <c r="AF228" s="264">
        <v>7</v>
      </c>
      <c r="AG228" s="264"/>
      <c r="AH228" s="264">
        <v>3</v>
      </c>
      <c r="AI228" s="264" t="s">
        <v>751</v>
      </c>
      <c r="AJ228" s="264"/>
      <c r="AK228" s="264"/>
      <c r="AL228" s="264"/>
      <c r="AM228" s="264"/>
      <c r="AN228" s="264">
        <v>2</v>
      </c>
      <c r="AO228" s="264"/>
      <c r="AP228" s="66">
        <v>43518</v>
      </c>
      <c r="AQ228" s="264"/>
      <c r="AR228" s="264"/>
      <c r="AS228" s="264">
        <v>2</v>
      </c>
      <c r="AT228" s="264"/>
      <c r="AU228" s="66">
        <v>43518</v>
      </c>
      <c r="AV228" s="264"/>
      <c r="AW228" s="264"/>
      <c r="AX228" s="264">
        <v>3</v>
      </c>
      <c r="AY228" s="264"/>
      <c r="AZ228" s="264" t="s">
        <v>688</v>
      </c>
      <c r="BA228" s="264">
        <v>9</v>
      </c>
      <c r="BB228" s="264"/>
      <c r="BC228" s="264" t="s">
        <v>734</v>
      </c>
      <c r="BD228" s="264">
        <v>7</v>
      </c>
      <c r="BE228" s="264"/>
      <c r="BF228" s="264" t="s">
        <v>725</v>
      </c>
      <c r="BG228" s="264">
        <v>8</v>
      </c>
      <c r="BH228" s="264"/>
      <c r="BI228" s="264" t="s">
        <v>667</v>
      </c>
      <c r="BJ228" s="264">
        <v>2</v>
      </c>
      <c r="BK228" s="264"/>
      <c r="BL228" s="66">
        <v>43662</v>
      </c>
      <c r="BM228" s="264">
        <v>1</v>
      </c>
      <c r="BN228" s="264" t="s">
        <v>657</v>
      </c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>
        <v>4</v>
      </c>
      <c r="CV228" s="264">
        <v>7</v>
      </c>
      <c r="CW228" s="264">
        <v>2</v>
      </c>
      <c r="CX228" s="264" t="s">
        <v>1006</v>
      </c>
      <c r="CY228" s="264">
        <v>1</v>
      </c>
      <c r="CZ228" s="264"/>
      <c r="DA228" s="264"/>
      <c r="DB228" s="264"/>
      <c r="DC228" s="264"/>
      <c r="DD228" s="264"/>
      <c r="DE228" s="264"/>
      <c r="DF228" s="264">
        <v>1</v>
      </c>
      <c r="DG228" s="264">
        <v>1</v>
      </c>
      <c r="DH228" s="264">
        <v>1</v>
      </c>
      <c r="DI228" s="264" t="s">
        <v>657</v>
      </c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>
        <v>27</v>
      </c>
      <c r="D229" s="264" t="s">
        <v>697</v>
      </c>
      <c r="E229" s="264">
        <v>12</v>
      </c>
      <c r="F229" s="264"/>
      <c r="G229" s="264">
        <v>27</v>
      </c>
      <c r="H229" s="264" t="s">
        <v>697</v>
      </c>
      <c r="I229" s="264">
        <v>12</v>
      </c>
      <c r="J229" s="264"/>
      <c r="K229" s="264">
        <v>4</v>
      </c>
      <c r="L229" s="264" t="s">
        <v>714</v>
      </c>
      <c r="M229" s="264"/>
      <c r="N229" s="264" t="s">
        <v>734</v>
      </c>
      <c r="O229" s="264">
        <v>2</v>
      </c>
      <c r="P229" s="264"/>
      <c r="Q229" s="264">
        <v>2</v>
      </c>
      <c r="R229" s="264"/>
      <c r="S229" s="264"/>
      <c r="T229" s="264"/>
      <c r="U229" s="264" t="s">
        <v>651</v>
      </c>
      <c r="V229" s="264">
        <v>1</v>
      </c>
      <c r="W229" s="66">
        <v>43526</v>
      </c>
      <c r="X229" s="264">
        <v>21</v>
      </c>
      <c r="Y229" s="264" t="s">
        <v>1477</v>
      </c>
      <c r="Z229" s="264">
        <v>8</v>
      </c>
      <c r="AA229" s="264" t="s">
        <v>676</v>
      </c>
      <c r="AB229" s="264">
        <v>3</v>
      </c>
      <c r="AC229" s="264" t="s">
        <v>794</v>
      </c>
      <c r="AD229" s="264">
        <v>6</v>
      </c>
      <c r="AE229" s="264" t="s">
        <v>690</v>
      </c>
      <c r="AF229" s="264">
        <v>4</v>
      </c>
      <c r="AG229" s="264" t="s">
        <v>904</v>
      </c>
      <c r="AH229" s="264">
        <v>1</v>
      </c>
      <c r="AI229" s="264" t="s">
        <v>693</v>
      </c>
      <c r="AJ229" s="264">
        <v>14</v>
      </c>
      <c r="AK229" s="264" t="s">
        <v>651</v>
      </c>
      <c r="AL229" s="264"/>
      <c r="AM229" s="264"/>
      <c r="AN229" s="264">
        <v>5</v>
      </c>
      <c r="AO229" s="264" t="s">
        <v>722</v>
      </c>
      <c r="AP229" s="66">
        <v>43603</v>
      </c>
      <c r="AQ229" s="264"/>
      <c r="AR229" s="264"/>
      <c r="AS229" s="264">
        <v>4</v>
      </c>
      <c r="AT229" s="264" t="s">
        <v>651</v>
      </c>
      <c r="AU229" s="66">
        <v>43691</v>
      </c>
      <c r="AV229" s="264">
        <v>1</v>
      </c>
      <c r="AW229" s="264" t="s">
        <v>651</v>
      </c>
      <c r="AX229" s="264"/>
      <c r="AY229" s="264" t="s">
        <v>650</v>
      </c>
      <c r="AZ229" s="264"/>
      <c r="BA229" s="264">
        <v>8</v>
      </c>
      <c r="BB229" s="264" t="s">
        <v>875</v>
      </c>
      <c r="BC229" s="264" t="s">
        <v>667</v>
      </c>
      <c r="BD229" s="264">
        <v>3</v>
      </c>
      <c r="BE229" s="264" t="s">
        <v>1050</v>
      </c>
      <c r="BF229" s="264" t="s">
        <v>688</v>
      </c>
      <c r="BG229" s="264">
        <v>10</v>
      </c>
      <c r="BH229" s="264" t="s">
        <v>688</v>
      </c>
      <c r="BI229" s="264" t="s">
        <v>674</v>
      </c>
      <c r="BJ229" s="264">
        <v>1</v>
      </c>
      <c r="BK229" s="264" t="s">
        <v>678</v>
      </c>
      <c r="BL229" s="66">
        <v>43532</v>
      </c>
      <c r="BM229" s="264">
        <v>1</v>
      </c>
      <c r="BN229" s="264" t="s">
        <v>651</v>
      </c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>
        <v>6</v>
      </c>
      <c r="CV229" s="264">
        <v>2</v>
      </c>
      <c r="CW229" s="264">
        <v>1</v>
      </c>
      <c r="CX229" s="264" t="s">
        <v>667</v>
      </c>
      <c r="CY229" s="264">
        <v>1</v>
      </c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>
        <v>1</v>
      </c>
      <c r="DO229" s="264">
        <v>1</v>
      </c>
      <c r="DP229" s="264"/>
      <c r="DQ229" s="264" t="s">
        <v>651</v>
      </c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 t="s">
        <v>858</v>
      </c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 t="s">
        <v>649</v>
      </c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 t="s">
        <v>652</v>
      </c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 t="s">
        <v>37</v>
      </c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 t="s">
        <v>653</v>
      </c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 t="s">
        <v>654</v>
      </c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 t="s">
        <v>649</v>
      </c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 t="s">
        <v>655</v>
      </c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 t="s">
        <v>37</v>
      </c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>
        <v>7</v>
      </c>
      <c r="D231" s="264"/>
      <c r="E231" s="264">
        <v>8</v>
      </c>
      <c r="F231" s="264"/>
      <c r="G231" s="264">
        <v>7</v>
      </c>
      <c r="H231" s="264"/>
      <c r="I231" s="264">
        <v>8</v>
      </c>
      <c r="J231" s="264"/>
      <c r="K231" s="264"/>
      <c r="L231" s="264"/>
      <c r="M231" s="264"/>
      <c r="N231" s="264" t="s">
        <v>651</v>
      </c>
      <c r="O231" s="264">
        <v>1</v>
      </c>
      <c r="P231" s="264"/>
      <c r="Q231" s="264">
        <v>2</v>
      </c>
      <c r="R231" s="264"/>
      <c r="S231" s="264"/>
      <c r="T231" s="264"/>
      <c r="U231" s="264" t="s">
        <v>651</v>
      </c>
      <c r="V231" s="264">
        <v>1</v>
      </c>
      <c r="W231" s="66">
        <v>43621</v>
      </c>
      <c r="X231" s="264">
        <v>1</v>
      </c>
      <c r="Y231" s="264"/>
      <c r="Z231" s="264">
        <v>2</v>
      </c>
      <c r="AA231" s="264"/>
      <c r="AB231" s="264"/>
      <c r="AC231" s="264" t="s">
        <v>651</v>
      </c>
      <c r="AD231" s="264">
        <v>6</v>
      </c>
      <c r="AE231" s="264"/>
      <c r="AF231" s="264">
        <v>6</v>
      </c>
      <c r="AG231" s="264"/>
      <c r="AH231" s="264"/>
      <c r="AI231" s="264" t="s">
        <v>651</v>
      </c>
      <c r="AJ231" s="264"/>
      <c r="AK231" s="264"/>
      <c r="AL231" s="264"/>
      <c r="AM231" s="264"/>
      <c r="AN231" s="264">
        <v>1</v>
      </c>
      <c r="AO231" s="264"/>
      <c r="AP231" s="66">
        <v>43538</v>
      </c>
      <c r="AQ231" s="264"/>
      <c r="AR231" s="264"/>
      <c r="AS231" s="264">
        <v>1</v>
      </c>
      <c r="AT231" s="264"/>
      <c r="AU231" s="66">
        <v>43538</v>
      </c>
      <c r="AV231" s="264"/>
      <c r="AW231" s="264"/>
      <c r="AX231" s="264">
        <v>1</v>
      </c>
      <c r="AY231" s="264"/>
      <c r="AZ231" s="66">
        <v>43597</v>
      </c>
      <c r="BA231" s="264">
        <v>3</v>
      </c>
      <c r="BB231" s="264"/>
      <c r="BC231" s="264" t="s">
        <v>742</v>
      </c>
      <c r="BD231" s="264">
        <v>4</v>
      </c>
      <c r="BE231" s="264"/>
      <c r="BF231" s="264" t="s">
        <v>657</v>
      </c>
      <c r="BG231" s="264">
        <v>5</v>
      </c>
      <c r="BH231" s="264"/>
      <c r="BI231" s="264" t="s">
        <v>713</v>
      </c>
      <c r="BJ231" s="264">
        <v>2</v>
      </c>
      <c r="BK231" s="264"/>
      <c r="BL231" s="264" t="s">
        <v>688</v>
      </c>
      <c r="BM231" s="264">
        <v>2</v>
      </c>
      <c r="BN231" s="264" t="s">
        <v>651</v>
      </c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>
        <v>1</v>
      </c>
      <c r="BZ231" s="264"/>
      <c r="CA231" s="264" t="s">
        <v>651</v>
      </c>
      <c r="CB231" s="264"/>
      <c r="CC231" s="264"/>
      <c r="CD231" s="264"/>
      <c r="CE231" s="264"/>
      <c r="CF231" s="264"/>
      <c r="CG231" s="264"/>
      <c r="CH231" s="264"/>
      <c r="CI231" s="264"/>
      <c r="CJ231" s="264">
        <v>1</v>
      </c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>
        <v>4</v>
      </c>
      <c r="CV231" s="264">
        <v>4</v>
      </c>
      <c r="CW231" s="264"/>
      <c r="CX231" s="264" t="s">
        <v>651</v>
      </c>
      <c r="CY231" s="264">
        <v>1</v>
      </c>
      <c r="CZ231" s="264">
        <v>1</v>
      </c>
      <c r="DA231" s="264"/>
      <c r="DB231" s="264" t="s">
        <v>651</v>
      </c>
      <c r="DC231" s="264"/>
      <c r="DD231" s="264"/>
      <c r="DE231" s="264"/>
      <c r="DF231" s="264"/>
      <c r="DG231" s="264">
        <v>1</v>
      </c>
      <c r="DH231" s="264"/>
      <c r="DI231" s="264" t="s">
        <v>651</v>
      </c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>
        <v>1</v>
      </c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>
        <v>6</v>
      </c>
      <c r="D232" s="264" t="s">
        <v>673</v>
      </c>
      <c r="E232" s="264">
        <v>6</v>
      </c>
      <c r="F232" s="264" t="s">
        <v>672</v>
      </c>
      <c r="G232" s="264">
        <v>6</v>
      </c>
      <c r="H232" s="264" t="s">
        <v>673</v>
      </c>
      <c r="I232" s="264">
        <v>6</v>
      </c>
      <c r="J232" s="264" t="s">
        <v>672</v>
      </c>
      <c r="K232" s="264">
        <v>2</v>
      </c>
      <c r="L232" s="264" t="s">
        <v>651</v>
      </c>
      <c r="M232" s="264"/>
      <c r="N232" s="264" t="s">
        <v>734</v>
      </c>
      <c r="O232" s="264"/>
      <c r="P232" s="264" t="s">
        <v>650</v>
      </c>
      <c r="Q232" s="264">
        <v>1</v>
      </c>
      <c r="R232" s="264" t="s">
        <v>678</v>
      </c>
      <c r="S232" s="264">
        <v>1</v>
      </c>
      <c r="T232" s="264" t="s">
        <v>651</v>
      </c>
      <c r="U232" s="264" t="s">
        <v>657</v>
      </c>
      <c r="V232" s="264"/>
      <c r="W232" s="264"/>
      <c r="X232" s="264">
        <v>4</v>
      </c>
      <c r="Y232" s="264" t="s">
        <v>731</v>
      </c>
      <c r="Z232" s="264">
        <v>4</v>
      </c>
      <c r="AA232" s="264" t="s">
        <v>651</v>
      </c>
      <c r="AB232" s="264"/>
      <c r="AC232" s="264" t="s">
        <v>651</v>
      </c>
      <c r="AD232" s="264">
        <v>2</v>
      </c>
      <c r="AE232" s="264" t="s">
        <v>743</v>
      </c>
      <c r="AF232" s="264">
        <v>2</v>
      </c>
      <c r="AG232" s="264" t="s">
        <v>743</v>
      </c>
      <c r="AH232" s="264">
        <v>2</v>
      </c>
      <c r="AI232" s="264" t="s">
        <v>657</v>
      </c>
      <c r="AJ232" s="264">
        <v>1</v>
      </c>
      <c r="AK232" s="264" t="s">
        <v>651</v>
      </c>
      <c r="AL232" s="264"/>
      <c r="AM232" s="264"/>
      <c r="AN232" s="264">
        <v>2</v>
      </c>
      <c r="AO232" s="264" t="s">
        <v>651</v>
      </c>
      <c r="AP232" s="264" t="s">
        <v>714</v>
      </c>
      <c r="AQ232" s="264"/>
      <c r="AR232" s="264"/>
      <c r="AS232" s="264">
        <v>2</v>
      </c>
      <c r="AT232" s="264" t="s">
        <v>651</v>
      </c>
      <c r="AU232" s="264" t="s">
        <v>714</v>
      </c>
      <c r="AV232" s="264"/>
      <c r="AW232" s="264"/>
      <c r="AX232" s="264"/>
      <c r="AY232" s="264" t="s">
        <v>650</v>
      </c>
      <c r="AZ232" s="264"/>
      <c r="BA232" s="264">
        <v>3</v>
      </c>
      <c r="BB232" s="264"/>
      <c r="BC232" s="264" t="s">
        <v>657</v>
      </c>
      <c r="BD232" s="264">
        <v>3</v>
      </c>
      <c r="BE232" s="264" t="s">
        <v>672</v>
      </c>
      <c r="BF232" s="264" t="s">
        <v>657</v>
      </c>
      <c r="BG232" s="264">
        <v>4</v>
      </c>
      <c r="BH232" s="264" t="s">
        <v>669</v>
      </c>
      <c r="BI232" s="264" t="s">
        <v>667</v>
      </c>
      <c r="BJ232" s="264">
        <v>1</v>
      </c>
      <c r="BK232" s="264" t="s">
        <v>678</v>
      </c>
      <c r="BL232" s="66">
        <v>43662</v>
      </c>
      <c r="BM232" s="264">
        <v>1</v>
      </c>
      <c r="BN232" s="264" t="s">
        <v>651</v>
      </c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>
        <v>1</v>
      </c>
      <c r="BZ232" s="264"/>
      <c r="CA232" s="264" t="s">
        <v>651</v>
      </c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>
        <v>1</v>
      </c>
      <c r="CT232" s="264"/>
      <c r="CU232" s="264">
        <v>2</v>
      </c>
      <c r="CV232" s="264">
        <v>1</v>
      </c>
      <c r="CW232" s="264">
        <v>1</v>
      </c>
      <c r="CX232" s="264" t="s">
        <v>657</v>
      </c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 t="s">
        <v>650</v>
      </c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 t="s">
        <v>649</v>
      </c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 t="s">
        <v>652</v>
      </c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 t="s">
        <v>37</v>
      </c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 t="s">
        <v>653</v>
      </c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 t="s">
        <v>654</v>
      </c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 t="s">
        <v>649</v>
      </c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 t="s">
        <v>655</v>
      </c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 t="s">
        <v>37</v>
      </c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>
        <v>152</v>
      </c>
      <c r="D234" s="264"/>
      <c r="E234" s="264">
        <v>86</v>
      </c>
      <c r="F234" s="264"/>
      <c r="G234" s="264">
        <v>152</v>
      </c>
      <c r="H234" s="264"/>
      <c r="I234" s="264">
        <v>86</v>
      </c>
      <c r="J234" s="264"/>
      <c r="K234" s="264">
        <v>44</v>
      </c>
      <c r="L234" s="264"/>
      <c r="M234" s="264"/>
      <c r="N234" s="264" t="s">
        <v>1101</v>
      </c>
      <c r="O234" s="264">
        <v>19</v>
      </c>
      <c r="P234" s="264"/>
      <c r="Q234" s="264">
        <v>15</v>
      </c>
      <c r="R234" s="264"/>
      <c r="S234" s="264">
        <v>3</v>
      </c>
      <c r="T234" s="264"/>
      <c r="U234" s="264" t="s">
        <v>674</v>
      </c>
      <c r="V234" s="264">
        <v>5</v>
      </c>
      <c r="W234" s="66">
        <v>43586</v>
      </c>
      <c r="X234" s="264">
        <v>85</v>
      </c>
      <c r="Y234" s="264"/>
      <c r="Z234" s="264">
        <v>54</v>
      </c>
      <c r="AA234" s="264"/>
      <c r="AB234" s="264">
        <v>11</v>
      </c>
      <c r="AC234" s="264" t="s">
        <v>871</v>
      </c>
      <c r="AD234" s="264">
        <v>67</v>
      </c>
      <c r="AE234" s="264"/>
      <c r="AF234" s="264">
        <v>32</v>
      </c>
      <c r="AG234" s="264"/>
      <c r="AH234" s="264">
        <v>33</v>
      </c>
      <c r="AI234" s="264" t="s">
        <v>902</v>
      </c>
      <c r="AJ234" s="264">
        <v>21</v>
      </c>
      <c r="AK234" s="264"/>
      <c r="AL234" s="264"/>
      <c r="AM234" s="264"/>
      <c r="AN234" s="264">
        <v>55</v>
      </c>
      <c r="AO234" s="264"/>
      <c r="AP234" s="264" t="s">
        <v>934</v>
      </c>
      <c r="AQ234" s="264">
        <v>6</v>
      </c>
      <c r="AR234" s="264"/>
      <c r="AS234" s="264">
        <v>37</v>
      </c>
      <c r="AT234" s="264"/>
      <c r="AU234" s="66">
        <v>43548</v>
      </c>
      <c r="AV234" s="264">
        <v>6</v>
      </c>
      <c r="AW234" s="264"/>
      <c r="AX234" s="264">
        <v>3</v>
      </c>
      <c r="AY234" s="264"/>
      <c r="AZ234" s="66">
        <v>43588</v>
      </c>
      <c r="BA234" s="264">
        <v>65</v>
      </c>
      <c r="BB234" s="264"/>
      <c r="BC234" s="264" t="s">
        <v>1095</v>
      </c>
      <c r="BD234" s="264">
        <v>57</v>
      </c>
      <c r="BE234" s="264"/>
      <c r="BF234" s="264" t="s">
        <v>989</v>
      </c>
      <c r="BG234" s="264">
        <v>68</v>
      </c>
      <c r="BH234" s="264"/>
      <c r="BI234" s="264" t="s">
        <v>838</v>
      </c>
      <c r="BJ234" s="264">
        <v>3</v>
      </c>
      <c r="BK234" s="264"/>
      <c r="BL234" s="66">
        <v>43588</v>
      </c>
      <c r="BM234" s="264">
        <v>3</v>
      </c>
      <c r="BN234" s="264" t="s">
        <v>651</v>
      </c>
      <c r="BO234" s="264"/>
      <c r="BP234" s="264">
        <v>1</v>
      </c>
      <c r="BQ234" s="264"/>
      <c r="BR234" s="264"/>
      <c r="BS234" s="264"/>
      <c r="BT234" s="264">
        <v>1</v>
      </c>
      <c r="BU234" s="264"/>
      <c r="BV234" s="264"/>
      <c r="BW234" s="264"/>
      <c r="BX234" s="264">
        <v>3</v>
      </c>
      <c r="BY234" s="264">
        <v>6</v>
      </c>
      <c r="BZ234" s="264"/>
      <c r="CA234" s="264" t="s">
        <v>651</v>
      </c>
      <c r="CB234" s="264">
        <v>1</v>
      </c>
      <c r="CC234" s="264"/>
      <c r="CD234" s="264"/>
      <c r="CE234" s="264"/>
      <c r="CF234" s="264"/>
      <c r="CG234" s="264"/>
      <c r="CH234" s="264"/>
      <c r="CI234" s="264"/>
      <c r="CJ234" s="264">
        <v>7</v>
      </c>
      <c r="CK234" s="264">
        <v>6</v>
      </c>
      <c r="CL234" s="264"/>
      <c r="CM234" s="264" t="s">
        <v>651</v>
      </c>
      <c r="CN234" s="264"/>
      <c r="CO234" s="264"/>
      <c r="CP234" s="264"/>
      <c r="CQ234" s="264"/>
      <c r="CR234" s="264">
        <v>1</v>
      </c>
      <c r="CS234" s="264"/>
      <c r="CT234" s="264" t="s">
        <v>651</v>
      </c>
      <c r="CU234" s="264">
        <v>56</v>
      </c>
      <c r="CV234" s="264">
        <v>17</v>
      </c>
      <c r="CW234" s="264">
        <v>27</v>
      </c>
      <c r="CX234" s="264" t="s">
        <v>973</v>
      </c>
      <c r="CY234" s="264">
        <v>4</v>
      </c>
      <c r="CZ234" s="264"/>
      <c r="DA234" s="264">
        <v>1</v>
      </c>
      <c r="DB234" s="264"/>
      <c r="DC234" s="264"/>
      <c r="DD234" s="264"/>
      <c r="DE234" s="264"/>
      <c r="DF234" s="264">
        <v>8</v>
      </c>
      <c r="DG234" s="264"/>
      <c r="DH234" s="264">
        <v>10</v>
      </c>
      <c r="DI234" s="264"/>
      <c r="DJ234" s="264">
        <v>1</v>
      </c>
      <c r="DK234" s="264"/>
      <c r="DL234" s="264"/>
      <c r="DM234" s="264"/>
      <c r="DN234" s="264">
        <v>2</v>
      </c>
      <c r="DO234" s="264">
        <v>4</v>
      </c>
      <c r="DP234" s="264"/>
      <c r="DQ234" s="264" t="s">
        <v>651</v>
      </c>
      <c r="DR234" s="264">
        <v>8</v>
      </c>
      <c r="DS234" s="264"/>
      <c r="DT234" s="264">
        <v>1</v>
      </c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>
        <v>1</v>
      </c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>
        <v>7</v>
      </c>
      <c r="ER234" s="264"/>
      <c r="ES234" s="264">
        <v>2</v>
      </c>
      <c r="ET234" s="264"/>
      <c r="EU234" s="264"/>
    </row>
    <row r="235" spans="1:151">
      <c r="A235" s="160"/>
      <c r="B235" s="264" t="s">
        <v>419</v>
      </c>
      <c r="C235" s="264">
        <v>119</v>
      </c>
      <c r="D235" s="264" t="s">
        <v>1034</v>
      </c>
      <c r="E235" s="264">
        <v>79</v>
      </c>
      <c r="F235" s="264" t="s">
        <v>820</v>
      </c>
      <c r="G235" s="264">
        <v>119</v>
      </c>
      <c r="H235" s="264" t="s">
        <v>1034</v>
      </c>
      <c r="I235" s="264">
        <v>79</v>
      </c>
      <c r="J235" s="264" t="s">
        <v>820</v>
      </c>
      <c r="K235" s="264">
        <v>36</v>
      </c>
      <c r="L235" s="264" t="s">
        <v>670</v>
      </c>
      <c r="M235" s="264">
        <v>2</v>
      </c>
      <c r="N235" s="264" t="s">
        <v>1433</v>
      </c>
      <c r="O235" s="264">
        <v>18</v>
      </c>
      <c r="P235" s="264" t="s">
        <v>890</v>
      </c>
      <c r="Q235" s="264">
        <v>12</v>
      </c>
      <c r="R235" s="264" t="s">
        <v>669</v>
      </c>
      <c r="S235" s="264">
        <v>3</v>
      </c>
      <c r="T235" s="264"/>
      <c r="U235" s="264" t="s">
        <v>693</v>
      </c>
      <c r="V235" s="264">
        <v>2</v>
      </c>
      <c r="W235" s="264" t="s">
        <v>843</v>
      </c>
      <c r="X235" s="264">
        <v>59</v>
      </c>
      <c r="Y235" s="264" t="s">
        <v>1087</v>
      </c>
      <c r="Z235" s="264">
        <v>45</v>
      </c>
      <c r="AA235" s="264" t="s">
        <v>692</v>
      </c>
      <c r="AB235" s="264">
        <v>13</v>
      </c>
      <c r="AC235" s="264" t="s">
        <v>1356</v>
      </c>
      <c r="AD235" s="264">
        <v>60</v>
      </c>
      <c r="AE235" s="264" t="s">
        <v>798</v>
      </c>
      <c r="AF235" s="264">
        <v>34</v>
      </c>
      <c r="AG235" s="66">
        <v>43502</v>
      </c>
      <c r="AH235" s="264">
        <v>23</v>
      </c>
      <c r="AI235" s="264" t="s">
        <v>1324</v>
      </c>
      <c r="AJ235" s="264">
        <v>23</v>
      </c>
      <c r="AK235" s="66">
        <v>43594</v>
      </c>
      <c r="AL235" s="264"/>
      <c r="AM235" s="264"/>
      <c r="AN235" s="264">
        <v>34</v>
      </c>
      <c r="AO235" s="264" t="s">
        <v>831</v>
      </c>
      <c r="AP235" s="66">
        <v>43644</v>
      </c>
      <c r="AQ235" s="264">
        <v>1</v>
      </c>
      <c r="AR235" s="264" t="s">
        <v>847</v>
      </c>
      <c r="AS235" s="264">
        <v>21</v>
      </c>
      <c r="AT235" s="264" t="s">
        <v>1317</v>
      </c>
      <c r="AU235" s="66">
        <v>43633</v>
      </c>
      <c r="AV235" s="264">
        <v>7</v>
      </c>
      <c r="AW235" s="66">
        <v>43662</v>
      </c>
      <c r="AX235" s="264">
        <v>9</v>
      </c>
      <c r="AY235" s="264" t="s">
        <v>697</v>
      </c>
      <c r="AZ235" s="66">
        <v>43566</v>
      </c>
      <c r="BA235" s="264">
        <v>60</v>
      </c>
      <c r="BB235" s="264" t="s">
        <v>689</v>
      </c>
      <c r="BC235" s="264" t="s">
        <v>1046</v>
      </c>
      <c r="BD235" s="264">
        <v>42</v>
      </c>
      <c r="BE235" s="264" t="s">
        <v>923</v>
      </c>
      <c r="BF235" s="264" t="s">
        <v>943</v>
      </c>
      <c r="BG235" s="264">
        <v>59</v>
      </c>
      <c r="BH235" s="264" t="s">
        <v>1376</v>
      </c>
      <c r="BI235" s="264" t="s">
        <v>1219</v>
      </c>
      <c r="BJ235" s="264">
        <v>5</v>
      </c>
      <c r="BK235" s="264" t="s">
        <v>667</v>
      </c>
      <c r="BL235" s="66">
        <v>43530</v>
      </c>
      <c r="BM235" s="264">
        <v>5</v>
      </c>
      <c r="BN235" s="264" t="s">
        <v>651</v>
      </c>
      <c r="BO235" s="264"/>
      <c r="BP235" s="264">
        <v>3</v>
      </c>
      <c r="BQ235" s="264"/>
      <c r="BR235" s="264"/>
      <c r="BS235" s="264"/>
      <c r="BT235" s="264"/>
      <c r="BU235" s="264">
        <v>1</v>
      </c>
      <c r="BV235" s="264"/>
      <c r="BW235" s="264" t="s">
        <v>651</v>
      </c>
      <c r="BX235" s="264">
        <v>2</v>
      </c>
      <c r="BY235" s="264">
        <v>4</v>
      </c>
      <c r="BZ235" s="264"/>
      <c r="CA235" s="264" t="s">
        <v>651</v>
      </c>
      <c r="CB235" s="264"/>
      <c r="CC235" s="264">
        <v>1</v>
      </c>
      <c r="CD235" s="264"/>
      <c r="CE235" s="264" t="s">
        <v>651</v>
      </c>
      <c r="CF235" s="264"/>
      <c r="CG235" s="264">
        <v>1</v>
      </c>
      <c r="CH235" s="264"/>
      <c r="CI235" s="264" t="s">
        <v>651</v>
      </c>
      <c r="CJ235" s="264">
        <v>2</v>
      </c>
      <c r="CK235" s="264"/>
      <c r="CL235" s="264">
        <v>1</v>
      </c>
      <c r="CM235" s="264"/>
      <c r="CN235" s="264"/>
      <c r="CO235" s="264"/>
      <c r="CP235" s="264"/>
      <c r="CQ235" s="264">
        <v>1</v>
      </c>
      <c r="CR235" s="264"/>
      <c r="CS235" s="264">
        <v>2</v>
      </c>
      <c r="CT235" s="264"/>
      <c r="CU235" s="264">
        <v>46</v>
      </c>
      <c r="CV235" s="264">
        <v>28</v>
      </c>
      <c r="CW235" s="264">
        <v>21</v>
      </c>
      <c r="CX235" s="264" t="s">
        <v>744</v>
      </c>
      <c r="CY235" s="264">
        <v>1</v>
      </c>
      <c r="CZ235" s="264">
        <v>2</v>
      </c>
      <c r="DA235" s="264"/>
      <c r="DB235" s="264" t="s">
        <v>651</v>
      </c>
      <c r="DC235" s="264"/>
      <c r="DD235" s="264"/>
      <c r="DE235" s="264"/>
      <c r="DF235" s="264">
        <v>11</v>
      </c>
      <c r="DG235" s="264">
        <v>1</v>
      </c>
      <c r="DH235" s="264">
        <v>5</v>
      </c>
      <c r="DI235" s="66">
        <v>43662</v>
      </c>
      <c r="DJ235" s="264"/>
      <c r="DK235" s="264"/>
      <c r="DL235" s="264"/>
      <c r="DM235" s="264"/>
      <c r="DN235" s="264">
        <v>1</v>
      </c>
      <c r="DO235" s="264">
        <v>1</v>
      </c>
      <c r="DP235" s="264"/>
      <c r="DQ235" s="264" t="s">
        <v>651</v>
      </c>
      <c r="DR235" s="264">
        <v>1</v>
      </c>
      <c r="DS235" s="264" t="s">
        <v>1014</v>
      </c>
      <c r="DT235" s="264">
        <v>1</v>
      </c>
      <c r="DU235" s="264"/>
      <c r="DV235" s="264">
        <v>1</v>
      </c>
      <c r="DW235" s="264" t="s">
        <v>651</v>
      </c>
      <c r="DX235" s="264"/>
      <c r="DY235" s="264"/>
      <c r="DZ235" s="264"/>
      <c r="EA235" s="264"/>
      <c r="EB235" s="264"/>
      <c r="EC235" s="264"/>
      <c r="ED235" s="264"/>
      <c r="EE235" s="264">
        <v>1</v>
      </c>
      <c r="EF235" s="264"/>
      <c r="EG235" s="264"/>
      <c r="EH235" s="264"/>
      <c r="EI235" s="264">
        <v>1</v>
      </c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 t="s">
        <v>649</v>
      </c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 t="s">
        <v>652</v>
      </c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 t="s">
        <v>37</v>
      </c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 t="s">
        <v>653</v>
      </c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 t="s">
        <v>654</v>
      </c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 t="s">
        <v>649</v>
      </c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 t="s">
        <v>655</v>
      </c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 t="s">
        <v>37</v>
      </c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>
        <v>47</v>
      </c>
      <c r="D237" s="264"/>
      <c r="E237" s="264">
        <v>27</v>
      </c>
      <c r="F237" s="264"/>
      <c r="G237" s="264">
        <v>47</v>
      </c>
      <c r="H237" s="264"/>
      <c r="I237" s="264">
        <v>27</v>
      </c>
      <c r="J237" s="264"/>
      <c r="K237" s="264">
        <v>13</v>
      </c>
      <c r="L237" s="264"/>
      <c r="M237" s="264"/>
      <c r="N237" s="264" t="s">
        <v>926</v>
      </c>
      <c r="O237" s="264">
        <v>9</v>
      </c>
      <c r="P237" s="264"/>
      <c r="Q237" s="264">
        <v>7</v>
      </c>
      <c r="R237" s="264"/>
      <c r="S237" s="264">
        <v>1</v>
      </c>
      <c r="T237" s="264"/>
      <c r="U237" s="264" t="s">
        <v>720</v>
      </c>
      <c r="V237" s="264"/>
      <c r="W237" s="264"/>
      <c r="X237" s="264">
        <v>27</v>
      </c>
      <c r="Y237" s="264"/>
      <c r="Z237" s="264">
        <v>13</v>
      </c>
      <c r="AA237" s="264"/>
      <c r="AB237" s="264">
        <v>3</v>
      </c>
      <c r="AC237" s="264" t="s">
        <v>868</v>
      </c>
      <c r="AD237" s="264">
        <v>20</v>
      </c>
      <c r="AE237" s="264"/>
      <c r="AF237" s="264">
        <v>14</v>
      </c>
      <c r="AG237" s="264"/>
      <c r="AH237" s="264">
        <v>10</v>
      </c>
      <c r="AI237" s="264" t="s">
        <v>725</v>
      </c>
      <c r="AJ237" s="264">
        <v>10</v>
      </c>
      <c r="AK237" s="264"/>
      <c r="AL237" s="264"/>
      <c r="AM237" s="264"/>
      <c r="AN237" s="264">
        <v>10</v>
      </c>
      <c r="AO237" s="264"/>
      <c r="AP237" s="66">
        <v>43545</v>
      </c>
      <c r="AQ237" s="264">
        <v>1</v>
      </c>
      <c r="AR237" s="264"/>
      <c r="AS237" s="264">
        <v>9</v>
      </c>
      <c r="AT237" s="264"/>
      <c r="AU237" s="66">
        <v>43484</v>
      </c>
      <c r="AV237" s="264"/>
      <c r="AW237" s="264"/>
      <c r="AX237" s="264">
        <v>3</v>
      </c>
      <c r="AY237" s="264"/>
      <c r="AZ237" s="66">
        <v>43476</v>
      </c>
      <c r="BA237" s="264">
        <v>19</v>
      </c>
      <c r="BB237" s="264"/>
      <c r="BC237" s="264" t="s">
        <v>664</v>
      </c>
      <c r="BD237" s="264">
        <v>15</v>
      </c>
      <c r="BE237" s="264"/>
      <c r="BF237" s="264" t="s">
        <v>727</v>
      </c>
      <c r="BG237" s="264">
        <v>20</v>
      </c>
      <c r="BH237" s="264"/>
      <c r="BI237" s="264" t="s">
        <v>748</v>
      </c>
      <c r="BJ237" s="264">
        <v>2</v>
      </c>
      <c r="BK237" s="264"/>
      <c r="BL237" s="66">
        <v>43562</v>
      </c>
      <c r="BM237" s="264">
        <v>2</v>
      </c>
      <c r="BN237" s="264" t="s">
        <v>651</v>
      </c>
      <c r="BO237" s="264"/>
      <c r="BP237" s="264">
        <v>1</v>
      </c>
      <c r="BQ237" s="264">
        <v>1</v>
      </c>
      <c r="BR237" s="264"/>
      <c r="BS237" s="264" t="s">
        <v>651</v>
      </c>
      <c r="BT237" s="264"/>
      <c r="BU237" s="264"/>
      <c r="BV237" s="264"/>
      <c r="BW237" s="264"/>
      <c r="BX237" s="264">
        <v>1</v>
      </c>
      <c r="BY237" s="264">
        <v>2</v>
      </c>
      <c r="BZ237" s="264"/>
      <c r="CA237" s="264" t="s">
        <v>651</v>
      </c>
      <c r="CB237" s="264">
        <v>1</v>
      </c>
      <c r="CC237" s="264">
        <v>1</v>
      </c>
      <c r="CD237" s="264"/>
      <c r="CE237" s="264" t="s">
        <v>651</v>
      </c>
      <c r="CF237" s="264"/>
      <c r="CG237" s="264"/>
      <c r="CH237" s="264"/>
      <c r="CI237" s="264"/>
      <c r="CJ237" s="264">
        <v>2</v>
      </c>
      <c r="CK237" s="264">
        <v>1</v>
      </c>
      <c r="CL237" s="264"/>
      <c r="CM237" s="264" t="s">
        <v>651</v>
      </c>
      <c r="CN237" s="264">
        <v>1</v>
      </c>
      <c r="CO237" s="264"/>
      <c r="CP237" s="264"/>
      <c r="CQ237" s="264">
        <v>1</v>
      </c>
      <c r="CR237" s="264">
        <v>2</v>
      </c>
      <c r="CS237" s="264">
        <v>1</v>
      </c>
      <c r="CT237" s="264" t="s">
        <v>667</v>
      </c>
      <c r="CU237" s="264">
        <v>19</v>
      </c>
      <c r="CV237" s="264">
        <v>11</v>
      </c>
      <c r="CW237" s="264">
        <v>9</v>
      </c>
      <c r="CX237" s="264" t="s">
        <v>1051</v>
      </c>
      <c r="CY237" s="264">
        <v>2</v>
      </c>
      <c r="CZ237" s="264">
        <v>2</v>
      </c>
      <c r="DA237" s="264">
        <v>1</v>
      </c>
      <c r="DB237" s="264" t="s">
        <v>667</v>
      </c>
      <c r="DC237" s="264"/>
      <c r="DD237" s="264"/>
      <c r="DE237" s="264"/>
      <c r="DF237" s="264">
        <v>3</v>
      </c>
      <c r="DG237" s="264"/>
      <c r="DH237" s="264">
        <v>3</v>
      </c>
      <c r="DI237" s="264"/>
      <c r="DJ237" s="264"/>
      <c r="DK237" s="264"/>
      <c r="DL237" s="264"/>
      <c r="DM237" s="264"/>
      <c r="DN237" s="264">
        <v>1</v>
      </c>
      <c r="DO237" s="264">
        <v>1</v>
      </c>
      <c r="DP237" s="264"/>
      <c r="DQ237" s="264" t="s">
        <v>651</v>
      </c>
      <c r="DR237" s="264">
        <v>2</v>
      </c>
      <c r="DS237" s="264"/>
      <c r="DT237" s="264">
        <v>2</v>
      </c>
      <c r="DU237" s="264"/>
      <c r="DV237" s="264">
        <v>2</v>
      </c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>
        <v>32</v>
      </c>
      <c r="D238" s="264" t="s">
        <v>1355</v>
      </c>
      <c r="E238" s="264">
        <v>19</v>
      </c>
      <c r="F238" s="264" t="s">
        <v>1386</v>
      </c>
      <c r="G238" s="264">
        <v>32</v>
      </c>
      <c r="H238" s="264" t="s">
        <v>1355</v>
      </c>
      <c r="I238" s="264">
        <v>19</v>
      </c>
      <c r="J238" s="264" t="s">
        <v>1386</v>
      </c>
      <c r="K238" s="264">
        <v>14</v>
      </c>
      <c r="L238" s="66">
        <v>43653</v>
      </c>
      <c r="M238" s="264"/>
      <c r="N238" s="264" t="s">
        <v>1295</v>
      </c>
      <c r="O238" s="264">
        <v>11</v>
      </c>
      <c r="P238" s="66">
        <v>43518</v>
      </c>
      <c r="Q238" s="264">
        <v>3</v>
      </c>
      <c r="R238" s="264" t="s">
        <v>1050</v>
      </c>
      <c r="S238" s="264">
        <v>2</v>
      </c>
      <c r="T238" s="264" t="s">
        <v>651</v>
      </c>
      <c r="U238" s="264" t="s">
        <v>676</v>
      </c>
      <c r="V238" s="264"/>
      <c r="W238" s="264"/>
      <c r="X238" s="264">
        <v>14</v>
      </c>
      <c r="Y238" s="264" t="s">
        <v>1411</v>
      </c>
      <c r="Z238" s="264">
        <v>14</v>
      </c>
      <c r="AA238" s="66">
        <v>43653</v>
      </c>
      <c r="AB238" s="264">
        <v>5</v>
      </c>
      <c r="AC238" s="264" t="s">
        <v>867</v>
      </c>
      <c r="AD238" s="264">
        <v>18</v>
      </c>
      <c r="AE238" s="264" t="s">
        <v>758</v>
      </c>
      <c r="AF238" s="264">
        <v>5</v>
      </c>
      <c r="AG238" s="264" t="s">
        <v>1116</v>
      </c>
      <c r="AH238" s="264">
        <v>9</v>
      </c>
      <c r="AI238" s="264" t="s">
        <v>956</v>
      </c>
      <c r="AJ238" s="264">
        <v>5</v>
      </c>
      <c r="AK238" s="264" t="s">
        <v>678</v>
      </c>
      <c r="AL238" s="264"/>
      <c r="AM238" s="264"/>
      <c r="AN238" s="264">
        <v>6</v>
      </c>
      <c r="AO238" s="264" t="s">
        <v>706</v>
      </c>
      <c r="AP238" s="66">
        <v>43695</v>
      </c>
      <c r="AQ238" s="264"/>
      <c r="AR238" s="264" t="s">
        <v>650</v>
      </c>
      <c r="AS238" s="264">
        <v>6</v>
      </c>
      <c r="AT238" s="264" t="s">
        <v>677</v>
      </c>
      <c r="AU238" s="66">
        <v>43695</v>
      </c>
      <c r="AV238" s="264"/>
      <c r="AW238" s="264"/>
      <c r="AX238" s="264">
        <v>1</v>
      </c>
      <c r="AY238" s="264" t="s">
        <v>743</v>
      </c>
      <c r="AZ238" s="66">
        <v>43529</v>
      </c>
      <c r="BA238" s="264">
        <v>10</v>
      </c>
      <c r="BB238" s="264" t="s">
        <v>1074</v>
      </c>
      <c r="BC238" s="264" t="s">
        <v>1313</v>
      </c>
      <c r="BD238" s="264">
        <v>13</v>
      </c>
      <c r="BE238" s="264" t="s">
        <v>668</v>
      </c>
      <c r="BF238" s="264" t="s">
        <v>686</v>
      </c>
      <c r="BG238" s="264">
        <v>12</v>
      </c>
      <c r="BH238" s="264" t="s">
        <v>706</v>
      </c>
      <c r="BI238" s="264" t="s">
        <v>1091</v>
      </c>
      <c r="BJ238" s="264">
        <v>2</v>
      </c>
      <c r="BK238" s="264"/>
      <c r="BL238" s="66">
        <v>43595</v>
      </c>
      <c r="BM238" s="264">
        <v>2</v>
      </c>
      <c r="BN238" s="264" t="s">
        <v>651</v>
      </c>
      <c r="BO238" s="264"/>
      <c r="BP238" s="264">
        <v>1</v>
      </c>
      <c r="BQ238" s="264"/>
      <c r="BR238" s="264"/>
      <c r="BS238" s="264"/>
      <c r="BT238" s="264"/>
      <c r="BU238" s="264"/>
      <c r="BV238" s="264"/>
      <c r="BW238" s="264"/>
      <c r="BX238" s="264">
        <v>1</v>
      </c>
      <c r="BY238" s="264">
        <v>2</v>
      </c>
      <c r="BZ238" s="264"/>
      <c r="CA238" s="264" t="s">
        <v>651</v>
      </c>
      <c r="CB238" s="264"/>
      <c r="CC238" s="264"/>
      <c r="CD238" s="264"/>
      <c r="CE238" s="264"/>
      <c r="CF238" s="264"/>
      <c r="CG238" s="264"/>
      <c r="CH238" s="264"/>
      <c r="CI238" s="264"/>
      <c r="CJ238" s="264">
        <v>1</v>
      </c>
      <c r="CK238" s="264"/>
      <c r="CL238" s="264"/>
      <c r="CM238" s="264"/>
      <c r="CN238" s="264"/>
      <c r="CO238" s="264" t="s">
        <v>650</v>
      </c>
      <c r="CP238" s="264"/>
      <c r="CQ238" s="264"/>
      <c r="CR238" s="264"/>
      <c r="CS238" s="264"/>
      <c r="CT238" s="264"/>
      <c r="CU238" s="264">
        <v>14</v>
      </c>
      <c r="CV238" s="264">
        <v>3</v>
      </c>
      <c r="CW238" s="264">
        <v>8</v>
      </c>
      <c r="CX238" s="66">
        <v>43551</v>
      </c>
      <c r="CY238" s="264">
        <v>5</v>
      </c>
      <c r="CZ238" s="264">
        <v>1</v>
      </c>
      <c r="DA238" s="264"/>
      <c r="DB238" s="264" t="s">
        <v>651</v>
      </c>
      <c r="DC238" s="264">
        <v>1</v>
      </c>
      <c r="DD238" s="264">
        <v>1</v>
      </c>
      <c r="DE238" s="264"/>
      <c r="DF238" s="264">
        <v>1</v>
      </c>
      <c r="DG238" s="264"/>
      <c r="DH238" s="264">
        <v>1</v>
      </c>
      <c r="DI238" s="264"/>
      <c r="DJ238" s="264"/>
      <c r="DK238" s="264"/>
      <c r="DL238" s="264"/>
      <c r="DM238" s="264"/>
      <c r="DN238" s="264">
        <v>1</v>
      </c>
      <c r="DO238" s="264"/>
      <c r="DP238" s="264"/>
      <c r="DQ238" s="264"/>
      <c r="DR238" s="264">
        <v>1</v>
      </c>
      <c r="DS238" s="264" t="s">
        <v>678</v>
      </c>
      <c r="DT238" s="264"/>
      <c r="DU238" s="264" t="s">
        <v>650</v>
      </c>
      <c r="DV238" s="264"/>
      <c r="DW238" s="264" t="s">
        <v>650</v>
      </c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>
        <v>1</v>
      </c>
      <c r="ER238" s="264"/>
      <c r="ES238" s="264">
        <v>1</v>
      </c>
      <c r="ET238" s="264"/>
      <c r="EU238" s="264"/>
    </row>
    <row r="239" spans="1:151">
      <c r="A239" s="160"/>
      <c r="B239" s="1" t="s">
        <v>1</v>
      </c>
      <c r="C239" s="264" t="s">
        <v>649</v>
      </c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 t="s">
        <v>652</v>
      </c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 t="s">
        <v>37</v>
      </c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 t="s">
        <v>653</v>
      </c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 t="s">
        <v>654</v>
      </c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 t="s">
        <v>649</v>
      </c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 t="s">
        <v>655</v>
      </c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 t="s">
        <v>37</v>
      </c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>
        <v>46</v>
      </c>
      <c r="D240" s="264"/>
      <c r="E240" s="264">
        <v>32</v>
      </c>
      <c r="F240" s="264"/>
      <c r="G240" s="264">
        <v>46</v>
      </c>
      <c r="H240" s="264"/>
      <c r="I240" s="264">
        <v>32</v>
      </c>
      <c r="J240" s="264"/>
      <c r="K240" s="264">
        <v>8</v>
      </c>
      <c r="L240" s="264"/>
      <c r="M240" s="264"/>
      <c r="N240" s="264" t="s">
        <v>693</v>
      </c>
      <c r="O240" s="264">
        <v>8</v>
      </c>
      <c r="P240" s="264"/>
      <c r="Q240" s="264">
        <v>4</v>
      </c>
      <c r="R240" s="264"/>
      <c r="S240" s="264">
        <v>1</v>
      </c>
      <c r="T240" s="264"/>
      <c r="U240" s="264" t="s">
        <v>693</v>
      </c>
      <c r="V240" s="264">
        <v>9</v>
      </c>
      <c r="W240" s="66">
        <v>43652</v>
      </c>
      <c r="X240" s="264">
        <v>25</v>
      </c>
      <c r="Y240" s="264"/>
      <c r="Z240" s="264">
        <v>20</v>
      </c>
      <c r="AA240" s="264"/>
      <c r="AB240" s="264">
        <v>2</v>
      </c>
      <c r="AC240" s="264" t="s">
        <v>850</v>
      </c>
      <c r="AD240" s="264">
        <v>21</v>
      </c>
      <c r="AE240" s="264"/>
      <c r="AF240" s="264">
        <v>12</v>
      </c>
      <c r="AG240" s="264"/>
      <c r="AH240" s="264">
        <v>6</v>
      </c>
      <c r="AI240" s="264" t="s">
        <v>667</v>
      </c>
      <c r="AJ240" s="264">
        <v>13</v>
      </c>
      <c r="AK240" s="264"/>
      <c r="AL240" s="264">
        <v>1</v>
      </c>
      <c r="AM240" s="264"/>
      <c r="AN240" s="264">
        <v>11</v>
      </c>
      <c r="AO240" s="264"/>
      <c r="AP240" s="66">
        <v>43731</v>
      </c>
      <c r="AQ240" s="264"/>
      <c r="AR240" s="264"/>
      <c r="AS240" s="264">
        <v>10</v>
      </c>
      <c r="AT240" s="264"/>
      <c r="AU240" s="66">
        <v>43667</v>
      </c>
      <c r="AV240" s="264">
        <v>2</v>
      </c>
      <c r="AW240" s="264"/>
      <c r="AX240" s="264"/>
      <c r="AY240" s="264"/>
      <c r="AZ240" s="264"/>
      <c r="BA240" s="264">
        <v>23</v>
      </c>
      <c r="BB240" s="264"/>
      <c r="BC240" s="264" t="s">
        <v>1064</v>
      </c>
      <c r="BD240" s="264">
        <v>14</v>
      </c>
      <c r="BE240" s="264"/>
      <c r="BF240" s="264" t="s">
        <v>976</v>
      </c>
      <c r="BG240" s="264">
        <v>25</v>
      </c>
      <c r="BH240" s="264"/>
      <c r="BI240" s="264" t="s">
        <v>1003</v>
      </c>
      <c r="BJ240" s="264">
        <v>2</v>
      </c>
      <c r="BK240" s="264"/>
      <c r="BL240" s="66">
        <v>43530</v>
      </c>
      <c r="BM240" s="264">
        <v>1</v>
      </c>
      <c r="BN240" s="264" t="s">
        <v>657</v>
      </c>
      <c r="BO240" s="264"/>
      <c r="BP240" s="264">
        <v>1</v>
      </c>
      <c r="BQ240" s="264"/>
      <c r="BR240" s="264"/>
      <c r="BS240" s="264"/>
      <c r="BT240" s="264"/>
      <c r="BU240" s="264"/>
      <c r="BV240" s="264"/>
      <c r="BW240" s="264"/>
      <c r="BX240" s="264"/>
      <c r="BY240" s="264">
        <v>1</v>
      </c>
      <c r="BZ240" s="264"/>
      <c r="CA240" s="264" t="s">
        <v>651</v>
      </c>
      <c r="CB240" s="264"/>
      <c r="CC240" s="264"/>
      <c r="CD240" s="264"/>
      <c r="CE240" s="264"/>
      <c r="CF240" s="264"/>
      <c r="CG240" s="264"/>
      <c r="CH240" s="264"/>
      <c r="CI240" s="264"/>
      <c r="CJ240" s="264">
        <v>1</v>
      </c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>
        <v>11</v>
      </c>
      <c r="CV240" s="264">
        <v>8</v>
      </c>
      <c r="CW240" s="264">
        <v>7</v>
      </c>
      <c r="CX240" s="264" t="s">
        <v>694</v>
      </c>
      <c r="CY240" s="264">
        <v>3</v>
      </c>
      <c r="CZ240" s="264">
        <v>2</v>
      </c>
      <c r="DA240" s="264"/>
      <c r="DB240" s="264" t="s">
        <v>651</v>
      </c>
      <c r="DC240" s="264">
        <v>1</v>
      </c>
      <c r="DD240" s="264"/>
      <c r="DE240" s="264"/>
      <c r="DF240" s="264"/>
      <c r="DG240" s="264"/>
      <c r="DH240" s="264"/>
      <c r="DI240" s="264"/>
      <c r="DJ240" s="264"/>
      <c r="DK240" s="264"/>
      <c r="DL240" s="264"/>
      <c r="DM240" s="264"/>
      <c r="DN240" s="264"/>
      <c r="DO240" s="264"/>
      <c r="DP240" s="264"/>
      <c r="DQ240" s="264"/>
      <c r="DR240" s="264">
        <v>2</v>
      </c>
      <c r="DS240" s="264"/>
      <c r="DT240" s="264">
        <v>2</v>
      </c>
      <c r="DU240" s="264"/>
      <c r="DV240" s="264">
        <v>2</v>
      </c>
      <c r="DW240" s="264"/>
      <c r="DX240" s="264"/>
      <c r="DY240" s="264"/>
      <c r="DZ240" s="264"/>
      <c r="EA240" s="264"/>
      <c r="EB240" s="264"/>
      <c r="EC240" s="264"/>
      <c r="ED240" s="264"/>
      <c r="EE240" s="264">
        <v>1</v>
      </c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>
        <v>49</v>
      </c>
      <c r="D241" s="66">
        <v>43591</v>
      </c>
      <c r="E241" s="264">
        <v>29</v>
      </c>
      <c r="F241" s="264" t="s">
        <v>775</v>
      </c>
      <c r="G241" s="264">
        <v>49</v>
      </c>
      <c r="H241" s="66">
        <v>43591</v>
      </c>
      <c r="I241" s="264">
        <v>29</v>
      </c>
      <c r="J241" s="264" t="s">
        <v>775</v>
      </c>
      <c r="K241" s="264">
        <v>7</v>
      </c>
      <c r="L241" s="264" t="s">
        <v>785</v>
      </c>
      <c r="M241" s="264"/>
      <c r="N241" s="264" t="s">
        <v>776</v>
      </c>
      <c r="O241" s="264">
        <v>6</v>
      </c>
      <c r="P241" s="264" t="s">
        <v>672</v>
      </c>
      <c r="Q241" s="264">
        <v>2</v>
      </c>
      <c r="R241" s="264" t="s">
        <v>678</v>
      </c>
      <c r="S241" s="264">
        <v>1</v>
      </c>
      <c r="T241" s="264"/>
      <c r="U241" s="264" t="s">
        <v>667</v>
      </c>
      <c r="V241" s="264"/>
      <c r="W241" s="264"/>
      <c r="X241" s="264">
        <v>20</v>
      </c>
      <c r="Y241" s="264" t="s">
        <v>669</v>
      </c>
      <c r="Z241" s="264">
        <v>16</v>
      </c>
      <c r="AA241" s="264" t="s">
        <v>669</v>
      </c>
      <c r="AB241" s="264">
        <v>4</v>
      </c>
      <c r="AC241" s="264" t="s">
        <v>693</v>
      </c>
      <c r="AD241" s="264">
        <v>29</v>
      </c>
      <c r="AE241" s="264" t="s">
        <v>793</v>
      </c>
      <c r="AF241" s="264">
        <v>13</v>
      </c>
      <c r="AG241" s="66">
        <v>43532</v>
      </c>
      <c r="AH241" s="264">
        <v>3</v>
      </c>
      <c r="AI241" s="264" t="s">
        <v>868</v>
      </c>
      <c r="AJ241" s="264">
        <v>8</v>
      </c>
      <c r="AK241" s="264" t="s">
        <v>698</v>
      </c>
      <c r="AL241" s="264">
        <v>2</v>
      </c>
      <c r="AM241" s="264" t="s">
        <v>651</v>
      </c>
      <c r="AN241" s="264">
        <v>5</v>
      </c>
      <c r="AO241" s="264" t="s">
        <v>738</v>
      </c>
      <c r="AP241" s="66">
        <v>43506</v>
      </c>
      <c r="AQ241" s="264">
        <v>1</v>
      </c>
      <c r="AR241" s="264" t="s">
        <v>651</v>
      </c>
      <c r="AS241" s="264">
        <v>3</v>
      </c>
      <c r="AT241" s="264" t="s">
        <v>1127</v>
      </c>
      <c r="AU241" s="66">
        <v>43471</v>
      </c>
      <c r="AV241" s="264">
        <v>2</v>
      </c>
      <c r="AW241" s="264"/>
      <c r="AX241" s="264"/>
      <c r="AY241" s="264"/>
      <c r="AZ241" s="264"/>
      <c r="BA241" s="264">
        <v>20</v>
      </c>
      <c r="BB241" s="264" t="s">
        <v>811</v>
      </c>
      <c r="BC241" s="264" t="s">
        <v>1339</v>
      </c>
      <c r="BD241" s="264">
        <v>7</v>
      </c>
      <c r="BE241" s="264" t="s">
        <v>678</v>
      </c>
      <c r="BF241" s="66">
        <v>43489</v>
      </c>
      <c r="BG241" s="264">
        <v>18</v>
      </c>
      <c r="BH241" s="264" t="s">
        <v>914</v>
      </c>
      <c r="BI241" s="264" t="s">
        <v>808</v>
      </c>
      <c r="BJ241" s="264">
        <v>1</v>
      </c>
      <c r="BK241" s="264" t="s">
        <v>678</v>
      </c>
      <c r="BL241" s="66">
        <v>43558</v>
      </c>
      <c r="BM241" s="264">
        <v>1</v>
      </c>
      <c r="BN241" s="264" t="s">
        <v>651</v>
      </c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>
        <v>2</v>
      </c>
      <c r="BY241" s="264"/>
      <c r="BZ241" s="264"/>
      <c r="CA241" s="264"/>
      <c r="CB241" s="264"/>
      <c r="CC241" s="264"/>
      <c r="CD241" s="264"/>
      <c r="CE241" s="264"/>
      <c r="CF241" s="264">
        <v>1</v>
      </c>
      <c r="CG241" s="264"/>
      <c r="CH241" s="264"/>
      <c r="CI241" s="264"/>
      <c r="CJ241" s="264"/>
      <c r="CK241" s="264">
        <v>1</v>
      </c>
      <c r="CL241" s="264"/>
      <c r="CM241" s="264" t="s">
        <v>651</v>
      </c>
      <c r="CN241" s="264"/>
      <c r="CO241" s="264"/>
      <c r="CP241" s="264"/>
      <c r="CQ241" s="264"/>
      <c r="CR241" s="264"/>
      <c r="CS241" s="264">
        <v>1</v>
      </c>
      <c r="CT241" s="264"/>
      <c r="CU241" s="264">
        <v>15</v>
      </c>
      <c r="CV241" s="264">
        <v>7</v>
      </c>
      <c r="CW241" s="264">
        <v>3</v>
      </c>
      <c r="CX241" s="264" t="s">
        <v>751</v>
      </c>
      <c r="CY241" s="264">
        <v>2</v>
      </c>
      <c r="CZ241" s="264"/>
      <c r="DA241" s="264"/>
      <c r="DB241" s="264"/>
      <c r="DC241" s="264"/>
      <c r="DD241" s="264">
        <v>1</v>
      </c>
      <c r="DE241" s="264"/>
      <c r="DF241" s="264">
        <v>3</v>
      </c>
      <c r="DG241" s="264">
        <v>1</v>
      </c>
      <c r="DH241" s="264"/>
      <c r="DI241" s="264" t="s">
        <v>651</v>
      </c>
      <c r="DJ241" s="264"/>
      <c r="DK241" s="264"/>
      <c r="DL241" s="264"/>
      <c r="DM241" s="264"/>
      <c r="DN241" s="264"/>
      <c r="DO241" s="264">
        <v>1</v>
      </c>
      <c r="DP241" s="264"/>
      <c r="DQ241" s="264" t="s">
        <v>651</v>
      </c>
      <c r="DR241" s="264">
        <v>2</v>
      </c>
      <c r="DS241" s="264"/>
      <c r="DT241" s="264">
        <v>2</v>
      </c>
      <c r="DU241" s="264"/>
      <c r="DV241" s="264"/>
      <c r="DW241" s="264" t="s">
        <v>650</v>
      </c>
      <c r="DX241" s="264">
        <v>1</v>
      </c>
      <c r="DY241" s="264" t="s">
        <v>651</v>
      </c>
      <c r="DZ241" s="264">
        <v>1</v>
      </c>
      <c r="EA241" s="264" t="s">
        <v>651</v>
      </c>
      <c r="EB241" s="264">
        <v>1</v>
      </c>
      <c r="EC241" s="264" t="s">
        <v>651</v>
      </c>
      <c r="ED241" s="264"/>
      <c r="EE241" s="264">
        <v>2</v>
      </c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 t="s">
        <v>649</v>
      </c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 t="s">
        <v>652</v>
      </c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 t="s">
        <v>37</v>
      </c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 t="s">
        <v>653</v>
      </c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 t="s">
        <v>654</v>
      </c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 t="s">
        <v>649</v>
      </c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 t="s">
        <v>655</v>
      </c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 t="s">
        <v>37</v>
      </c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>
        <v>24</v>
      </c>
      <c r="D243" s="264"/>
      <c r="E243" s="264">
        <v>12</v>
      </c>
      <c r="F243" s="264"/>
      <c r="G243" s="264">
        <v>24</v>
      </c>
      <c r="H243" s="264"/>
      <c r="I243" s="264">
        <v>12</v>
      </c>
      <c r="J243" s="264"/>
      <c r="K243" s="264">
        <v>4</v>
      </c>
      <c r="L243" s="264"/>
      <c r="M243" s="264"/>
      <c r="N243" s="264" t="s">
        <v>734</v>
      </c>
      <c r="O243" s="264">
        <v>4</v>
      </c>
      <c r="P243" s="264"/>
      <c r="Q243" s="264">
        <v>1</v>
      </c>
      <c r="R243" s="264"/>
      <c r="S243" s="264">
        <v>1</v>
      </c>
      <c r="T243" s="264"/>
      <c r="U243" s="264" t="s">
        <v>657</v>
      </c>
      <c r="V243" s="264">
        <v>9</v>
      </c>
      <c r="W243" s="66">
        <v>43687</v>
      </c>
      <c r="X243" s="264">
        <v>13</v>
      </c>
      <c r="Y243" s="264"/>
      <c r="Z243" s="264">
        <v>8</v>
      </c>
      <c r="AA243" s="264"/>
      <c r="AB243" s="264">
        <v>2</v>
      </c>
      <c r="AC243" s="264" t="s">
        <v>693</v>
      </c>
      <c r="AD243" s="264">
        <v>11</v>
      </c>
      <c r="AE243" s="264"/>
      <c r="AF243" s="264">
        <v>4</v>
      </c>
      <c r="AG243" s="264"/>
      <c r="AH243" s="264">
        <v>2</v>
      </c>
      <c r="AI243" s="264" t="s">
        <v>667</v>
      </c>
      <c r="AJ243" s="264">
        <v>9</v>
      </c>
      <c r="AK243" s="264"/>
      <c r="AL243" s="264"/>
      <c r="AM243" s="264"/>
      <c r="AN243" s="264">
        <v>5</v>
      </c>
      <c r="AO243" s="264"/>
      <c r="AP243" s="66">
        <v>43697</v>
      </c>
      <c r="AQ243" s="264"/>
      <c r="AR243" s="264"/>
      <c r="AS243" s="264">
        <v>5</v>
      </c>
      <c r="AT243" s="264"/>
      <c r="AU243" s="66">
        <v>43697</v>
      </c>
      <c r="AV243" s="264">
        <v>2</v>
      </c>
      <c r="AW243" s="264"/>
      <c r="AX243" s="264"/>
      <c r="AY243" s="264"/>
      <c r="AZ243" s="264"/>
      <c r="BA243" s="264">
        <v>7</v>
      </c>
      <c r="BB243" s="264"/>
      <c r="BC243" s="264" t="s">
        <v>725</v>
      </c>
      <c r="BD243" s="264">
        <v>6</v>
      </c>
      <c r="BE243" s="264"/>
      <c r="BF243" s="264" t="s">
        <v>657</v>
      </c>
      <c r="BG243" s="264">
        <v>11</v>
      </c>
      <c r="BH243" s="264"/>
      <c r="BI243" s="264" t="s">
        <v>777</v>
      </c>
      <c r="BJ243" s="264">
        <v>1</v>
      </c>
      <c r="BK243" s="264"/>
      <c r="BL243" s="66">
        <v>43532</v>
      </c>
      <c r="BM243" s="264"/>
      <c r="BN243" s="264"/>
      <c r="BO243" s="264"/>
      <c r="BP243" s="264">
        <v>1</v>
      </c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>
        <v>1</v>
      </c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>
        <v>3</v>
      </c>
      <c r="CV243" s="264">
        <v>2</v>
      </c>
      <c r="CW243" s="264">
        <v>4</v>
      </c>
      <c r="CX243" s="264" t="s">
        <v>714</v>
      </c>
      <c r="CY243" s="264"/>
      <c r="CZ243" s="264">
        <v>1</v>
      </c>
      <c r="DA243" s="264"/>
      <c r="DB243" s="264" t="s">
        <v>651</v>
      </c>
      <c r="DC243" s="264">
        <v>1</v>
      </c>
      <c r="DD243" s="264"/>
      <c r="DE243" s="264"/>
      <c r="DF243" s="264"/>
      <c r="DG243" s="264"/>
      <c r="DH243" s="264"/>
      <c r="DI243" s="264"/>
      <c r="DJ243" s="264"/>
      <c r="DK243" s="264"/>
      <c r="DL243" s="264"/>
      <c r="DM243" s="264"/>
      <c r="DN243" s="264"/>
      <c r="DO243" s="264"/>
      <c r="DP243" s="264"/>
      <c r="DQ243" s="264"/>
      <c r="DR243" s="264">
        <v>1</v>
      </c>
      <c r="DS243" s="264"/>
      <c r="DT243" s="264">
        <v>1</v>
      </c>
      <c r="DU243" s="264"/>
      <c r="DV243" s="264">
        <v>1</v>
      </c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>
        <v>20</v>
      </c>
      <c r="D244" s="264" t="s">
        <v>692</v>
      </c>
      <c r="E244" s="264">
        <v>17</v>
      </c>
      <c r="F244" s="264" t="s">
        <v>882</v>
      </c>
      <c r="G244" s="264">
        <v>20</v>
      </c>
      <c r="H244" s="264" t="s">
        <v>692</v>
      </c>
      <c r="I244" s="264">
        <v>17</v>
      </c>
      <c r="J244" s="264" t="s">
        <v>882</v>
      </c>
      <c r="K244" s="264">
        <v>4</v>
      </c>
      <c r="L244" s="264"/>
      <c r="M244" s="264"/>
      <c r="N244" s="264" t="s">
        <v>825</v>
      </c>
      <c r="O244" s="264">
        <v>1</v>
      </c>
      <c r="P244" s="264" t="s">
        <v>728</v>
      </c>
      <c r="Q244" s="264">
        <v>2</v>
      </c>
      <c r="R244" s="264" t="s">
        <v>651</v>
      </c>
      <c r="S244" s="264"/>
      <c r="T244" s="264" t="s">
        <v>650</v>
      </c>
      <c r="U244" s="264" t="s">
        <v>651</v>
      </c>
      <c r="V244" s="264"/>
      <c r="W244" s="264"/>
      <c r="X244" s="264">
        <v>8</v>
      </c>
      <c r="Y244" s="264" t="s">
        <v>698</v>
      </c>
      <c r="Z244" s="264">
        <v>9</v>
      </c>
      <c r="AA244" s="66">
        <v>43597</v>
      </c>
      <c r="AB244" s="264">
        <v>3</v>
      </c>
      <c r="AC244" s="264" t="s">
        <v>734</v>
      </c>
      <c r="AD244" s="264">
        <v>12</v>
      </c>
      <c r="AE244" s="66">
        <v>43474</v>
      </c>
      <c r="AF244" s="264">
        <v>8</v>
      </c>
      <c r="AG244" s="264" t="s">
        <v>651</v>
      </c>
      <c r="AH244" s="264">
        <v>1</v>
      </c>
      <c r="AI244" s="264" t="s">
        <v>675</v>
      </c>
      <c r="AJ244" s="264">
        <v>3</v>
      </c>
      <c r="AK244" s="264" t="s">
        <v>743</v>
      </c>
      <c r="AL244" s="264"/>
      <c r="AM244" s="264"/>
      <c r="AN244" s="264">
        <v>3</v>
      </c>
      <c r="AO244" s="264" t="s">
        <v>706</v>
      </c>
      <c r="AP244" s="264" t="s">
        <v>949</v>
      </c>
      <c r="AQ244" s="264">
        <v>1</v>
      </c>
      <c r="AR244" s="264" t="s">
        <v>651</v>
      </c>
      <c r="AS244" s="264">
        <v>1</v>
      </c>
      <c r="AT244" s="264" t="s">
        <v>889</v>
      </c>
      <c r="AU244" s="264" t="s">
        <v>685</v>
      </c>
      <c r="AV244" s="264">
        <v>1</v>
      </c>
      <c r="AW244" s="264" t="s">
        <v>678</v>
      </c>
      <c r="AX244" s="264"/>
      <c r="AY244" s="264"/>
      <c r="AZ244" s="264"/>
      <c r="BA244" s="264">
        <v>9</v>
      </c>
      <c r="BB244" s="66">
        <v>43644</v>
      </c>
      <c r="BC244" s="264" t="s">
        <v>965</v>
      </c>
      <c r="BD244" s="264">
        <v>5</v>
      </c>
      <c r="BE244" s="264" t="s">
        <v>692</v>
      </c>
      <c r="BF244" s="66">
        <v>43584</v>
      </c>
      <c r="BG244" s="264">
        <v>11</v>
      </c>
      <c r="BH244" s="264"/>
      <c r="BI244" s="264" t="s">
        <v>750</v>
      </c>
      <c r="BJ244" s="264">
        <v>1</v>
      </c>
      <c r="BK244" s="264"/>
      <c r="BL244" s="66">
        <v>43713</v>
      </c>
      <c r="BM244" s="264">
        <v>1</v>
      </c>
      <c r="BN244" s="264" t="s">
        <v>651</v>
      </c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>
        <v>1</v>
      </c>
      <c r="CG244" s="264"/>
      <c r="CH244" s="264"/>
      <c r="CI244" s="264"/>
      <c r="CJ244" s="264"/>
      <c r="CK244" s="264">
        <v>1</v>
      </c>
      <c r="CL244" s="264"/>
      <c r="CM244" s="264" t="s">
        <v>651</v>
      </c>
      <c r="CN244" s="264"/>
      <c r="CO244" s="264"/>
      <c r="CP244" s="264"/>
      <c r="CQ244" s="264"/>
      <c r="CR244" s="264"/>
      <c r="CS244" s="264">
        <v>1</v>
      </c>
      <c r="CT244" s="264"/>
      <c r="CU244" s="264">
        <v>7</v>
      </c>
      <c r="CV244" s="264">
        <v>4</v>
      </c>
      <c r="CW244" s="264">
        <v>1</v>
      </c>
      <c r="CX244" s="264" t="s">
        <v>693</v>
      </c>
      <c r="CY244" s="264"/>
      <c r="CZ244" s="264"/>
      <c r="DA244" s="264"/>
      <c r="DB244" s="264"/>
      <c r="DC244" s="264"/>
      <c r="DD244" s="264">
        <v>1</v>
      </c>
      <c r="DE244" s="264"/>
      <c r="DF244" s="264">
        <v>1</v>
      </c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 t="s">
        <v>650</v>
      </c>
      <c r="DT244" s="264"/>
      <c r="DU244" s="264" t="s">
        <v>650</v>
      </c>
      <c r="DV244" s="264"/>
      <c r="DW244" s="264" t="s">
        <v>650</v>
      </c>
      <c r="DX244" s="264">
        <v>1</v>
      </c>
      <c r="DY244" s="264" t="s">
        <v>651</v>
      </c>
      <c r="DZ244" s="264">
        <v>1</v>
      </c>
      <c r="EA244" s="264" t="s">
        <v>651</v>
      </c>
      <c r="EB244" s="264">
        <v>1</v>
      </c>
      <c r="EC244" s="264" t="s">
        <v>651</v>
      </c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 t="s">
        <v>649</v>
      </c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 t="s">
        <v>652</v>
      </c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 t="s">
        <v>37</v>
      </c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 t="s">
        <v>653</v>
      </c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 t="s">
        <v>654</v>
      </c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 t="s">
        <v>649</v>
      </c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 t="s">
        <v>655</v>
      </c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 t="s">
        <v>37</v>
      </c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>
        <v>15</v>
      </c>
      <c r="D246" s="264"/>
      <c r="E246" s="264">
        <v>15</v>
      </c>
      <c r="F246" s="264"/>
      <c r="G246" s="264">
        <v>15</v>
      </c>
      <c r="H246" s="264"/>
      <c r="I246" s="264">
        <v>15</v>
      </c>
      <c r="J246" s="264"/>
      <c r="K246" s="264">
        <v>4</v>
      </c>
      <c r="L246" s="264"/>
      <c r="M246" s="264"/>
      <c r="N246" s="264" t="s">
        <v>1099</v>
      </c>
      <c r="O246" s="264">
        <v>3</v>
      </c>
      <c r="P246" s="264"/>
      <c r="Q246" s="264">
        <v>2</v>
      </c>
      <c r="R246" s="264"/>
      <c r="S246" s="264"/>
      <c r="T246" s="264"/>
      <c r="U246" s="264" t="s">
        <v>651</v>
      </c>
      <c r="V246" s="264"/>
      <c r="W246" s="264"/>
      <c r="X246" s="264">
        <v>9</v>
      </c>
      <c r="Y246" s="264"/>
      <c r="Z246" s="264">
        <v>9</v>
      </c>
      <c r="AA246" s="264"/>
      <c r="AB246" s="264"/>
      <c r="AC246" s="264" t="s">
        <v>651</v>
      </c>
      <c r="AD246" s="264">
        <v>6</v>
      </c>
      <c r="AE246" s="264"/>
      <c r="AF246" s="264">
        <v>6</v>
      </c>
      <c r="AG246" s="264"/>
      <c r="AH246" s="264">
        <v>4</v>
      </c>
      <c r="AI246" s="264" t="s">
        <v>676</v>
      </c>
      <c r="AJ246" s="264">
        <v>4</v>
      </c>
      <c r="AK246" s="264"/>
      <c r="AL246" s="264"/>
      <c r="AM246" s="264"/>
      <c r="AN246" s="264">
        <v>4</v>
      </c>
      <c r="AO246" s="264"/>
      <c r="AP246" s="66">
        <v>43672</v>
      </c>
      <c r="AQ246" s="264"/>
      <c r="AR246" s="264"/>
      <c r="AS246" s="264">
        <v>3</v>
      </c>
      <c r="AT246" s="264"/>
      <c r="AU246" s="264" t="s">
        <v>690</v>
      </c>
      <c r="AV246" s="264"/>
      <c r="AW246" s="264"/>
      <c r="AX246" s="264"/>
      <c r="AY246" s="264"/>
      <c r="AZ246" s="264"/>
      <c r="BA246" s="264">
        <v>12</v>
      </c>
      <c r="BB246" s="264"/>
      <c r="BC246" s="264" t="s">
        <v>693</v>
      </c>
      <c r="BD246" s="264">
        <v>5</v>
      </c>
      <c r="BE246" s="264"/>
      <c r="BF246" s="264" t="s">
        <v>714</v>
      </c>
      <c r="BG246" s="264">
        <v>9</v>
      </c>
      <c r="BH246" s="264"/>
      <c r="BI246" s="264" t="s">
        <v>676</v>
      </c>
      <c r="BJ246" s="264"/>
      <c r="BK246" s="264"/>
      <c r="BL246" s="264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>
        <v>1</v>
      </c>
      <c r="BZ246" s="264"/>
      <c r="CA246" s="264" t="s">
        <v>651</v>
      </c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>
        <v>5</v>
      </c>
      <c r="CV246" s="264">
        <v>3</v>
      </c>
      <c r="CW246" s="264">
        <v>3</v>
      </c>
      <c r="CX246" s="264" t="s">
        <v>657</v>
      </c>
      <c r="CY246" s="264">
        <v>2</v>
      </c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>
        <v>1</v>
      </c>
      <c r="DS246" s="264"/>
      <c r="DT246" s="264">
        <v>1</v>
      </c>
      <c r="DU246" s="264"/>
      <c r="DV246" s="264">
        <v>1</v>
      </c>
      <c r="DW246" s="264"/>
      <c r="DX246" s="264"/>
      <c r="DY246" s="264"/>
      <c r="DZ246" s="264"/>
      <c r="EA246" s="264"/>
      <c r="EB246" s="264"/>
      <c r="EC246" s="264"/>
      <c r="ED246" s="264"/>
      <c r="EE246" s="264">
        <v>1</v>
      </c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>
        <v>16</v>
      </c>
      <c r="D247" s="66">
        <v>43652</v>
      </c>
      <c r="E247" s="264">
        <v>5</v>
      </c>
      <c r="F247" s="264" t="s">
        <v>743</v>
      </c>
      <c r="G247" s="264">
        <v>16</v>
      </c>
      <c r="H247" s="66">
        <v>43652</v>
      </c>
      <c r="I247" s="264">
        <v>5</v>
      </c>
      <c r="J247" s="264" t="s">
        <v>743</v>
      </c>
      <c r="K247" s="264">
        <v>3</v>
      </c>
      <c r="L247" s="264" t="s">
        <v>672</v>
      </c>
      <c r="M247" s="264"/>
      <c r="N247" s="264" t="s">
        <v>713</v>
      </c>
      <c r="O247" s="264">
        <v>2</v>
      </c>
      <c r="P247" s="264" t="s">
        <v>677</v>
      </c>
      <c r="Q247" s="264"/>
      <c r="R247" s="264" t="s">
        <v>650</v>
      </c>
      <c r="S247" s="264">
        <v>1</v>
      </c>
      <c r="T247" s="264" t="s">
        <v>651</v>
      </c>
      <c r="U247" s="264"/>
      <c r="V247" s="264"/>
      <c r="W247" s="264"/>
      <c r="X247" s="264">
        <v>7</v>
      </c>
      <c r="Y247" s="264" t="s">
        <v>782</v>
      </c>
      <c r="Z247" s="264">
        <v>4</v>
      </c>
      <c r="AA247" s="264" t="s">
        <v>736</v>
      </c>
      <c r="AB247" s="264">
        <v>1</v>
      </c>
      <c r="AC247" s="264" t="s">
        <v>693</v>
      </c>
      <c r="AD247" s="264">
        <v>9</v>
      </c>
      <c r="AE247" s="264" t="s">
        <v>657</v>
      </c>
      <c r="AF247" s="264">
        <v>1</v>
      </c>
      <c r="AG247" s="264" t="s">
        <v>847</v>
      </c>
      <c r="AH247" s="264">
        <v>2</v>
      </c>
      <c r="AI247" s="264" t="s">
        <v>714</v>
      </c>
      <c r="AJ247" s="264">
        <v>2</v>
      </c>
      <c r="AK247" s="264" t="s">
        <v>678</v>
      </c>
      <c r="AL247" s="264">
        <v>2</v>
      </c>
      <c r="AM247" s="264" t="s">
        <v>651</v>
      </c>
      <c r="AN247" s="264">
        <v>1</v>
      </c>
      <c r="AO247" s="264" t="s">
        <v>728</v>
      </c>
      <c r="AP247" s="66">
        <v>43530</v>
      </c>
      <c r="AQ247" s="264"/>
      <c r="AR247" s="264"/>
      <c r="AS247" s="264">
        <v>1</v>
      </c>
      <c r="AT247" s="264" t="s">
        <v>743</v>
      </c>
      <c r="AU247" s="66">
        <v>43530</v>
      </c>
      <c r="AV247" s="264">
        <v>1</v>
      </c>
      <c r="AW247" s="264" t="s">
        <v>651</v>
      </c>
      <c r="AX247" s="264"/>
      <c r="AY247" s="264"/>
      <c r="AZ247" s="264"/>
      <c r="BA247" s="264">
        <v>5</v>
      </c>
      <c r="BB247" s="264" t="s">
        <v>1068</v>
      </c>
      <c r="BC247" s="264" t="s">
        <v>651</v>
      </c>
      <c r="BD247" s="264">
        <v>2</v>
      </c>
      <c r="BE247" s="264" t="s">
        <v>723</v>
      </c>
      <c r="BF247" s="264" t="s">
        <v>696</v>
      </c>
      <c r="BG247" s="264">
        <v>2</v>
      </c>
      <c r="BH247" s="264" t="s">
        <v>979</v>
      </c>
      <c r="BI247" s="264" t="s">
        <v>696</v>
      </c>
      <c r="BJ247" s="264"/>
      <c r="BK247" s="264"/>
      <c r="BL247" s="264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>
        <v>1</v>
      </c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>
        <v>5</v>
      </c>
      <c r="CV247" s="264">
        <v>1</v>
      </c>
      <c r="CW247" s="264">
        <v>2</v>
      </c>
      <c r="CX247" s="264" t="s">
        <v>714</v>
      </c>
      <c r="CY247" s="264">
        <v>1</v>
      </c>
      <c r="CZ247" s="264"/>
      <c r="DA247" s="264"/>
      <c r="DB247" s="264"/>
      <c r="DC247" s="264"/>
      <c r="DD247" s="264"/>
      <c r="DE247" s="264"/>
      <c r="DF247" s="264">
        <v>1</v>
      </c>
      <c r="DG247" s="264"/>
      <c r="DH247" s="264"/>
      <c r="DI247" s="264"/>
      <c r="DJ247" s="264"/>
      <c r="DK247" s="264"/>
      <c r="DL247" s="264"/>
      <c r="DM247" s="264"/>
      <c r="DN247" s="264"/>
      <c r="DO247" s="264">
        <v>1</v>
      </c>
      <c r="DP247" s="264"/>
      <c r="DQ247" s="264" t="s">
        <v>651</v>
      </c>
      <c r="DR247" s="264">
        <v>2</v>
      </c>
      <c r="DS247" s="264" t="s">
        <v>651</v>
      </c>
      <c r="DT247" s="264">
        <v>2</v>
      </c>
      <c r="DU247" s="264" t="s">
        <v>651</v>
      </c>
      <c r="DV247" s="264"/>
      <c r="DW247" s="264" t="s">
        <v>650</v>
      </c>
      <c r="DX247" s="264"/>
      <c r="DY247" s="264"/>
      <c r="DZ247" s="264"/>
      <c r="EA247" s="264"/>
      <c r="EB247" s="264"/>
      <c r="EC247" s="264"/>
      <c r="ED247" s="264"/>
      <c r="EE247" s="264">
        <v>2</v>
      </c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 t="s">
        <v>649</v>
      </c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 t="s">
        <v>652</v>
      </c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 t="s">
        <v>37</v>
      </c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 t="s">
        <v>653</v>
      </c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 t="s">
        <v>654</v>
      </c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 t="s">
        <v>649</v>
      </c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 t="s">
        <v>655</v>
      </c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 t="s">
        <v>37</v>
      </c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>
        <v>7</v>
      </c>
      <c r="D249" s="264"/>
      <c r="E249" s="264">
        <v>5</v>
      </c>
      <c r="F249" s="264"/>
      <c r="G249" s="264">
        <v>7</v>
      </c>
      <c r="H249" s="264"/>
      <c r="I249" s="264">
        <v>5</v>
      </c>
      <c r="J249" s="264"/>
      <c r="K249" s="264"/>
      <c r="L249" s="264"/>
      <c r="M249" s="264"/>
      <c r="N249" s="264" t="s">
        <v>651</v>
      </c>
      <c r="O249" s="264">
        <v>1</v>
      </c>
      <c r="P249" s="264"/>
      <c r="Q249" s="264">
        <v>1</v>
      </c>
      <c r="R249" s="264"/>
      <c r="S249" s="264"/>
      <c r="T249" s="264"/>
      <c r="U249" s="264" t="s">
        <v>651</v>
      </c>
      <c r="V249" s="264"/>
      <c r="W249" s="264"/>
      <c r="X249" s="264">
        <v>3</v>
      </c>
      <c r="Y249" s="264"/>
      <c r="Z249" s="264">
        <v>3</v>
      </c>
      <c r="AA249" s="264"/>
      <c r="AB249" s="264"/>
      <c r="AC249" s="264" t="s">
        <v>651</v>
      </c>
      <c r="AD249" s="264">
        <v>4</v>
      </c>
      <c r="AE249" s="264"/>
      <c r="AF249" s="264">
        <v>2</v>
      </c>
      <c r="AG249" s="264"/>
      <c r="AH249" s="264"/>
      <c r="AI249" s="264" t="s">
        <v>651</v>
      </c>
      <c r="AJ249" s="264"/>
      <c r="AK249" s="264"/>
      <c r="AL249" s="264">
        <v>1</v>
      </c>
      <c r="AM249" s="264"/>
      <c r="AN249" s="264">
        <v>2</v>
      </c>
      <c r="AO249" s="264"/>
      <c r="AP249" s="66">
        <v>43644</v>
      </c>
      <c r="AQ249" s="264"/>
      <c r="AR249" s="264"/>
      <c r="AS249" s="264">
        <v>2</v>
      </c>
      <c r="AT249" s="264"/>
      <c r="AU249" s="66">
        <v>43644</v>
      </c>
      <c r="AV249" s="264"/>
      <c r="AW249" s="264"/>
      <c r="AX249" s="264"/>
      <c r="AY249" s="264"/>
      <c r="AZ249" s="264"/>
      <c r="BA249" s="264">
        <v>4</v>
      </c>
      <c r="BB249" s="264"/>
      <c r="BC249" s="264" t="s">
        <v>693</v>
      </c>
      <c r="BD249" s="264">
        <v>3</v>
      </c>
      <c r="BE249" s="264"/>
      <c r="BF249" s="264" t="s">
        <v>676</v>
      </c>
      <c r="BG249" s="264">
        <v>5</v>
      </c>
      <c r="BH249" s="264"/>
      <c r="BI249" s="264" t="s">
        <v>651</v>
      </c>
      <c r="BJ249" s="264">
        <v>1</v>
      </c>
      <c r="BK249" s="264"/>
      <c r="BL249" s="264" t="s">
        <v>690</v>
      </c>
      <c r="BM249" s="264">
        <v>1</v>
      </c>
      <c r="BN249" s="264" t="s">
        <v>651</v>
      </c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>
        <v>3</v>
      </c>
      <c r="CV249" s="264">
        <v>3</v>
      </c>
      <c r="CW249" s="264"/>
      <c r="CX249" s="264" t="s">
        <v>651</v>
      </c>
      <c r="CY249" s="264">
        <v>1</v>
      </c>
      <c r="CZ249" s="264">
        <v>1</v>
      </c>
      <c r="DA249" s="264"/>
      <c r="DB249" s="264" t="s">
        <v>651</v>
      </c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>
        <v>13</v>
      </c>
      <c r="D250" s="264" t="s">
        <v>660</v>
      </c>
      <c r="E250" s="264">
        <v>7</v>
      </c>
      <c r="F250" s="264" t="s">
        <v>696</v>
      </c>
      <c r="G250" s="264">
        <v>13</v>
      </c>
      <c r="H250" s="264" t="s">
        <v>660</v>
      </c>
      <c r="I250" s="264">
        <v>7</v>
      </c>
      <c r="J250" s="264" t="s">
        <v>696</v>
      </c>
      <c r="K250" s="264"/>
      <c r="L250" s="264"/>
      <c r="M250" s="264"/>
      <c r="N250" s="264" t="s">
        <v>651</v>
      </c>
      <c r="O250" s="264">
        <v>3</v>
      </c>
      <c r="P250" s="264" t="s">
        <v>697</v>
      </c>
      <c r="Q250" s="264"/>
      <c r="R250" s="264" t="s">
        <v>650</v>
      </c>
      <c r="S250" s="264"/>
      <c r="T250" s="264"/>
      <c r="U250" s="264"/>
      <c r="V250" s="264"/>
      <c r="W250" s="264"/>
      <c r="X250" s="264">
        <v>5</v>
      </c>
      <c r="Y250" s="264" t="s">
        <v>667</v>
      </c>
      <c r="Z250" s="264">
        <v>3</v>
      </c>
      <c r="AA250" s="264"/>
      <c r="AB250" s="264"/>
      <c r="AC250" s="264" t="s">
        <v>651</v>
      </c>
      <c r="AD250" s="264">
        <v>8</v>
      </c>
      <c r="AE250" s="264" t="s">
        <v>651</v>
      </c>
      <c r="AF250" s="264">
        <v>4</v>
      </c>
      <c r="AG250" s="264" t="s">
        <v>651</v>
      </c>
      <c r="AH250" s="264"/>
      <c r="AI250" s="264" t="s">
        <v>651</v>
      </c>
      <c r="AJ250" s="264">
        <v>3</v>
      </c>
      <c r="AK250" s="264" t="s">
        <v>651</v>
      </c>
      <c r="AL250" s="264"/>
      <c r="AM250" s="264" t="s">
        <v>650</v>
      </c>
      <c r="AN250" s="264">
        <v>1</v>
      </c>
      <c r="AO250" s="264" t="s">
        <v>678</v>
      </c>
      <c r="AP250" s="66">
        <v>43653</v>
      </c>
      <c r="AQ250" s="264"/>
      <c r="AR250" s="264"/>
      <c r="AS250" s="264">
        <v>1</v>
      </c>
      <c r="AT250" s="264" t="s">
        <v>678</v>
      </c>
      <c r="AU250" s="66">
        <v>43653</v>
      </c>
      <c r="AV250" s="264"/>
      <c r="AW250" s="264"/>
      <c r="AX250" s="264"/>
      <c r="AY250" s="264"/>
      <c r="AZ250" s="264"/>
      <c r="BA250" s="264">
        <v>6</v>
      </c>
      <c r="BB250" s="264" t="s">
        <v>657</v>
      </c>
      <c r="BC250" s="264" t="s">
        <v>660</v>
      </c>
      <c r="BD250" s="264"/>
      <c r="BE250" s="264" t="s">
        <v>650</v>
      </c>
      <c r="BF250" s="264"/>
      <c r="BG250" s="264">
        <v>5</v>
      </c>
      <c r="BH250" s="264"/>
      <c r="BI250" s="264" t="s">
        <v>837</v>
      </c>
      <c r="BJ250" s="264"/>
      <c r="BK250" s="264" t="s">
        <v>650</v>
      </c>
      <c r="BL250" s="264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>
        <v>1</v>
      </c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>
        <v>3</v>
      </c>
      <c r="CV250" s="264">
        <v>2</v>
      </c>
      <c r="CW250" s="264"/>
      <c r="CX250" s="264" t="s">
        <v>651</v>
      </c>
      <c r="CY250" s="264">
        <v>1</v>
      </c>
      <c r="CZ250" s="264"/>
      <c r="DA250" s="264"/>
      <c r="DB250" s="264"/>
      <c r="DC250" s="264"/>
      <c r="DD250" s="264"/>
      <c r="DE250" s="264"/>
      <c r="DF250" s="264">
        <v>1</v>
      </c>
      <c r="DG250" s="264">
        <v>1</v>
      </c>
      <c r="DH250" s="264"/>
      <c r="DI250" s="264" t="s">
        <v>651</v>
      </c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 t="s">
        <v>649</v>
      </c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 t="s">
        <v>652</v>
      </c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 t="s">
        <v>37</v>
      </c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 t="s">
        <v>653</v>
      </c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 t="s">
        <v>654</v>
      </c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 t="s">
        <v>649</v>
      </c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 t="s">
        <v>655</v>
      </c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 t="s">
        <v>37</v>
      </c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>
        <v>428</v>
      </c>
      <c r="D252" s="264"/>
      <c r="E252" s="264">
        <v>303</v>
      </c>
      <c r="F252" s="264"/>
      <c r="G252" s="264">
        <v>428</v>
      </c>
      <c r="H252" s="264"/>
      <c r="I252" s="264">
        <v>303</v>
      </c>
      <c r="J252" s="264"/>
      <c r="K252" s="264">
        <v>93</v>
      </c>
      <c r="L252" s="264"/>
      <c r="M252" s="264"/>
      <c r="N252" s="264" t="s">
        <v>792</v>
      </c>
      <c r="O252" s="264">
        <v>79</v>
      </c>
      <c r="P252" s="264"/>
      <c r="Q252" s="264">
        <v>46</v>
      </c>
      <c r="R252" s="264"/>
      <c r="S252" s="264">
        <v>7</v>
      </c>
      <c r="T252" s="264"/>
      <c r="U252" s="264" t="s">
        <v>1114</v>
      </c>
      <c r="V252" s="264">
        <v>16</v>
      </c>
      <c r="W252" s="66">
        <v>43647</v>
      </c>
      <c r="X252" s="264">
        <v>225</v>
      </c>
      <c r="Y252" s="264"/>
      <c r="Z252" s="264">
        <v>166</v>
      </c>
      <c r="AA252" s="264"/>
      <c r="AB252" s="264">
        <v>21</v>
      </c>
      <c r="AC252" s="264" t="s">
        <v>1221</v>
      </c>
      <c r="AD252" s="264">
        <v>203</v>
      </c>
      <c r="AE252" s="264"/>
      <c r="AF252" s="264">
        <v>137</v>
      </c>
      <c r="AG252" s="264"/>
      <c r="AH252" s="264">
        <v>72</v>
      </c>
      <c r="AI252" s="264" t="s">
        <v>1018</v>
      </c>
      <c r="AJ252" s="264">
        <v>78</v>
      </c>
      <c r="AK252" s="264"/>
      <c r="AL252" s="264">
        <v>1</v>
      </c>
      <c r="AM252" s="264"/>
      <c r="AN252" s="264">
        <v>120</v>
      </c>
      <c r="AO252" s="264"/>
      <c r="AP252" s="264" t="s">
        <v>1000</v>
      </c>
      <c r="AQ252" s="264">
        <v>18</v>
      </c>
      <c r="AR252" s="264"/>
      <c r="AS252" s="264">
        <v>85</v>
      </c>
      <c r="AT252" s="264"/>
      <c r="AU252" s="66">
        <v>43727</v>
      </c>
      <c r="AV252" s="264">
        <v>27</v>
      </c>
      <c r="AW252" s="264"/>
      <c r="AX252" s="264">
        <v>12</v>
      </c>
      <c r="AY252" s="264"/>
      <c r="AZ252" s="264" t="s">
        <v>840</v>
      </c>
      <c r="BA252" s="264">
        <v>193</v>
      </c>
      <c r="BB252" s="264"/>
      <c r="BC252" s="264" t="s">
        <v>1106</v>
      </c>
      <c r="BD252" s="264">
        <v>152</v>
      </c>
      <c r="BE252" s="264"/>
      <c r="BF252" s="264" t="s">
        <v>905</v>
      </c>
      <c r="BG252" s="264">
        <v>213</v>
      </c>
      <c r="BH252" s="264"/>
      <c r="BI252" s="264" t="s">
        <v>710</v>
      </c>
      <c r="BJ252" s="264">
        <v>14</v>
      </c>
      <c r="BK252" s="264"/>
      <c r="BL252" s="66">
        <v>43620</v>
      </c>
      <c r="BM252" s="264">
        <v>12</v>
      </c>
      <c r="BN252" s="264" t="s">
        <v>660</v>
      </c>
      <c r="BO252" s="264"/>
      <c r="BP252" s="264">
        <v>6</v>
      </c>
      <c r="BQ252" s="264">
        <v>2</v>
      </c>
      <c r="BR252" s="264"/>
      <c r="BS252" s="264" t="s">
        <v>651</v>
      </c>
      <c r="BT252" s="264">
        <v>1</v>
      </c>
      <c r="BU252" s="264">
        <v>1</v>
      </c>
      <c r="BV252" s="264"/>
      <c r="BW252" s="264" t="s">
        <v>651</v>
      </c>
      <c r="BX252" s="264">
        <v>13</v>
      </c>
      <c r="BY252" s="264">
        <v>14</v>
      </c>
      <c r="BZ252" s="264"/>
      <c r="CA252" s="264" t="s">
        <v>651</v>
      </c>
      <c r="CB252" s="264">
        <v>3</v>
      </c>
      <c r="CC252" s="264">
        <v>1</v>
      </c>
      <c r="CD252" s="264"/>
      <c r="CE252" s="264" t="s">
        <v>651</v>
      </c>
      <c r="CF252" s="264"/>
      <c r="CG252" s="264"/>
      <c r="CH252" s="264"/>
      <c r="CI252" s="264"/>
      <c r="CJ252" s="264">
        <v>14</v>
      </c>
      <c r="CK252" s="264">
        <v>8</v>
      </c>
      <c r="CL252" s="264"/>
      <c r="CM252" s="264" t="s">
        <v>651</v>
      </c>
      <c r="CN252" s="264">
        <v>1</v>
      </c>
      <c r="CO252" s="264"/>
      <c r="CP252" s="264"/>
      <c r="CQ252" s="264">
        <v>2</v>
      </c>
      <c r="CR252" s="264">
        <v>3</v>
      </c>
      <c r="CS252" s="264">
        <v>1</v>
      </c>
      <c r="CT252" s="264" t="s">
        <v>734</v>
      </c>
      <c r="CU252" s="264">
        <v>139</v>
      </c>
      <c r="CV252" s="264">
        <v>72</v>
      </c>
      <c r="CW252" s="264">
        <v>58</v>
      </c>
      <c r="CX252" s="264" t="s">
        <v>1089</v>
      </c>
      <c r="CY252" s="264">
        <v>15</v>
      </c>
      <c r="CZ252" s="264">
        <v>6</v>
      </c>
      <c r="DA252" s="264">
        <v>2</v>
      </c>
      <c r="DB252" s="264" t="s">
        <v>734</v>
      </c>
      <c r="DC252" s="264">
        <v>1</v>
      </c>
      <c r="DD252" s="264"/>
      <c r="DE252" s="264">
        <v>1</v>
      </c>
      <c r="DF252" s="264">
        <v>22</v>
      </c>
      <c r="DG252" s="264">
        <v>22</v>
      </c>
      <c r="DH252" s="264">
        <v>19</v>
      </c>
      <c r="DI252" s="264" t="s">
        <v>790</v>
      </c>
      <c r="DJ252" s="264">
        <v>1</v>
      </c>
      <c r="DK252" s="264"/>
      <c r="DL252" s="264"/>
      <c r="DM252" s="264"/>
      <c r="DN252" s="264">
        <v>5</v>
      </c>
      <c r="DO252" s="264">
        <v>5</v>
      </c>
      <c r="DP252" s="264"/>
      <c r="DQ252" s="264" t="s">
        <v>651</v>
      </c>
      <c r="DR252" s="264">
        <v>21</v>
      </c>
      <c r="DS252" s="264"/>
      <c r="DT252" s="264">
        <v>12</v>
      </c>
      <c r="DU252" s="264"/>
      <c r="DV252" s="264">
        <v>7</v>
      </c>
      <c r="DW252" s="264"/>
      <c r="DX252" s="264">
        <v>25</v>
      </c>
      <c r="DY252" s="264"/>
      <c r="DZ252" s="264">
        <v>22</v>
      </c>
      <c r="EA252" s="264"/>
      <c r="EB252" s="264">
        <v>2</v>
      </c>
      <c r="EC252" s="264"/>
      <c r="ED252" s="264" t="s">
        <v>925</v>
      </c>
      <c r="EE252" s="264">
        <v>2</v>
      </c>
      <c r="EF252" s="264"/>
      <c r="EG252" s="264"/>
      <c r="EH252" s="264"/>
      <c r="EI252" s="264"/>
      <c r="EJ252" s="264"/>
      <c r="EK252" s="264"/>
      <c r="EL252" s="264"/>
      <c r="EM252" s="264"/>
      <c r="EN252" s="264">
        <v>4</v>
      </c>
      <c r="EO252" s="264"/>
      <c r="EP252" s="264"/>
      <c r="EQ252" s="264">
        <v>9</v>
      </c>
      <c r="ER252" s="264"/>
      <c r="ES252" s="264">
        <v>2</v>
      </c>
      <c r="ET252" s="264">
        <v>1</v>
      </c>
      <c r="EU252" s="264"/>
    </row>
    <row r="253" spans="1:151">
      <c r="A253" s="160"/>
      <c r="B253" s="264" t="s">
        <v>421</v>
      </c>
      <c r="C253" s="264">
        <v>412</v>
      </c>
      <c r="D253" s="264" t="s">
        <v>1361</v>
      </c>
      <c r="E253" s="264">
        <v>267</v>
      </c>
      <c r="F253" s="264" t="s">
        <v>1320</v>
      </c>
      <c r="G253" s="264">
        <v>412</v>
      </c>
      <c r="H253" s="264" t="s">
        <v>1361</v>
      </c>
      <c r="I253" s="264">
        <v>267</v>
      </c>
      <c r="J253" s="264" t="s">
        <v>1320</v>
      </c>
      <c r="K253" s="264">
        <v>91</v>
      </c>
      <c r="L253" s="264" t="s">
        <v>1117</v>
      </c>
      <c r="M253" s="264">
        <v>2</v>
      </c>
      <c r="N253" s="264" t="s">
        <v>855</v>
      </c>
      <c r="O253" s="264">
        <v>63</v>
      </c>
      <c r="P253" s="264" t="s">
        <v>803</v>
      </c>
      <c r="Q253" s="264">
        <v>50</v>
      </c>
      <c r="R253" s="66">
        <v>43654</v>
      </c>
      <c r="S253" s="264">
        <v>14</v>
      </c>
      <c r="T253" s="264" t="s">
        <v>651</v>
      </c>
      <c r="U253" s="264" t="s">
        <v>1003</v>
      </c>
      <c r="V253" s="264">
        <v>4</v>
      </c>
      <c r="W253" s="264" t="s">
        <v>786</v>
      </c>
      <c r="X253" s="264">
        <v>212</v>
      </c>
      <c r="Y253" s="264" t="s">
        <v>1351</v>
      </c>
      <c r="Z253" s="264">
        <v>151</v>
      </c>
      <c r="AA253" s="264" t="s">
        <v>1405</v>
      </c>
      <c r="AB253" s="264">
        <v>30</v>
      </c>
      <c r="AC253" s="264" t="s">
        <v>1447</v>
      </c>
      <c r="AD253" s="264">
        <v>200</v>
      </c>
      <c r="AE253" s="264" t="s">
        <v>1428</v>
      </c>
      <c r="AF253" s="264">
        <v>116</v>
      </c>
      <c r="AG253" s="264" t="s">
        <v>1312</v>
      </c>
      <c r="AH253" s="264">
        <v>61</v>
      </c>
      <c r="AI253" s="264" t="s">
        <v>981</v>
      </c>
      <c r="AJ253" s="264">
        <v>95</v>
      </c>
      <c r="AK253" s="66">
        <v>43698</v>
      </c>
      <c r="AL253" s="264">
        <v>2</v>
      </c>
      <c r="AM253" s="264" t="s">
        <v>651</v>
      </c>
      <c r="AN253" s="264">
        <v>90</v>
      </c>
      <c r="AO253" s="264" t="s">
        <v>672</v>
      </c>
      <c r="AP253" s="66">
        <v>43698</v>
      </c>
      <c r="AQ253" s="264">
        <v>4</v>
      </c>
      <c r="AR253" s="264" t="s">
        <v>979</v>
      </c>
      <c r="AS253" s="264">
        <v>63</v>
      </c>
      <c r="AT253" s="264" t="s">
        <v>682</v>
      </c>
      <c r="AU253" s="66">
        <v>43539</v>
      </c>
      <c r="AV253" s="264">
        <v>23</v>
      </c>
      <c r="AW253" s="264" t="s">
        <v>770</v>
      </c>
      <c r="AX253" s="264">
        <v>10</v>
      </c>
      <c r="AY253" s="264" t="s">
        <v>692</v>
      </c>
      <c r="AZ253" s="66">
        <v>43649</v>
      </c>
      <c r="BA253" s="264">
        <v>187</v>
      </c>
      <c r="BB253" s="264" t="s">
        <v>1297</v>
      </c>
      <c r="BC253" s="264" t="s">
        <v>751</v>
      </c>
      <c r="BD253" s="264">
        <v>126</v>
      </c>
      <c r="BE253" s="264" t="s">
        <v>1343</v>
      </c>
      <c r="BF253" s="264" t="s">
        <v>977</v>
      </c>
      <c r="BG253" s="264">
        <v>185</v>
      </c>
      <c r="BH253" s="264" t="s">
        <v>873</v>
      </c>
      <c r="BI253" s="264" t="s">
        <v>1387</v>
      </c>
      <c r="BJ253" s="264">
        <v>15</v>
      </c>
      <c r="BK253" s="66">
        <v>43472</v>
      </c>
      <c r="BL253" s="66">
        <v>43621</v>
      </c>
      <c r="BM253" s="264">
        <v>14</v>
      </c>
      <c r="BN253" s="264" t="s">
        <v>760</v>
      </c>
      <c r="BO253" s="264"/>
      <c r="BP253" s="264">
        <v>5</v>
      </c>
      <c r="BQ253" s="264"/>
      <c r="BR253" s="264"/>
      <c r="BS253" s="264"/>
      <c r="BT253" s="264"/>
      <c r="BU253" s="264">
        <v>1</v>
      </c>
      <c r="BV253" s="264"/>
      <c r="BW253" s="264" t="s">
        <v>651</v>
      </c>
      <c r="BX253" s="264">
        <v>6</v>
      </c>
      <c r="BY253" s="264">
        <v>10</v>
      </c>
      <c r="BZ253" s="264"/>
      <c r="CA253" s="264" t="s">
        <v>651</v>
      </c>
      <c r="CB253" s="264">
        <v>1</v>
      </c>
      <c r="CC253" s="264">
        <v>1</v>
      </c>
      <c r="CD253" s="264"/>
      <c r="CE253" s="264" t="s">
        <v>651</v>
      </c>
      <c r="CF253" s="264">
        <v>2</v>
      </c>
      <c r="CG253" s="264">
        <v>1</v>
      </c>
      <c r="CH253" s="264"/>
      <c r="CI253" s="264" t="s">
        <v>651</v>
      </c>
      <c r="CJ253" s="264">
        <v>8</v>
      </c>
      <c r="CK253" s="264">
        <v>5</v>
      </c>
      <c r="CL253" s="264">
        <v>1</v>
      </c>
      <c r="CM253" s="264" t="s">
        <v>674</v>
      </c>
      <c r="CN253" s="264"/>
      <c r="CO253" s="264" t="s">
        <v>650</v>
      </c>
      <c r="CP253" s="264"/>
      <c r="CQ253" s="264">
        <v>2</v>
      </c>
      <c r="CR253" s="264">
        <v>1</v>
      </c>
      <c r="CS253" s="264">
        <v>4</v>
      </c>
      <c r="CT253" s="264" t="s">
        <v>690</v>
      </c>
      <c r="CU253" s="264">
        <v>137</v>
      </c>
      <c r="CV253" s="264">
        <v>73</v>
      </c>
      <c r="CW253" s="264">
        <v>49</v>
      </c>
      <c r="CX253" s="264" t="s">
        <v>1370</v>
      </c>
      <c r="CY253" s="264">
        <v>12</v>
      </c>
      <c r="CZ253" s="264">
        <v>10</v>
      </c>
      <c r="DA253" s="264"/>
      <c r="DB253" s="264" t="s">
        <v>651</v>
      </c>
      <c r="DC253" s="264">
        <v>2</v>
      </c>
      <c r="DD253" s="264">
        <v>3</v>
      </c>
      <c r="DE253" s="264"/>
      <c r="DF253" s="264">
        <v>32</v>
      </c>
      <c r="DG253" s="264">
        <v>4</v>
      </c>
      <c r="DH253" s="264">
        <v>11</v>
      </c>
      <c r="DI253" s="66">
        <v>43672</v>
      </c>
      <c r="DJ253" s="264"/>
      <c r="DK253" s="264"/>
      <c r="DL253" s="264"/>
      <c r="DM253" s="264"/>
      <c r="DN253" s="264">
        <v>4</v>
      </c>
      <c r="DO253" s="264">
        <v>5</v>
      </c>
      <c r="DP253" s="264">
        <v>1</v>
      </c>
      <c r="DQ253" s="264" t="s">
        <v>674</v>
      </c>
      <c r="DR253" s="264">
        <v>8</v>
      </c>
      <c r="DS253" s="264" t="s">
        <v>813</v>
      </c>
      <c r="DT253" s="264">
        <v>6</v>
      </c>
      <c r="DU253" s="264" t="s">
        <v>678</v>
      </c>
      <c r="DV253" s="264">
        <v>3</v>
      </c>
      <c r="DW253" s="264" t="s">
        <v>1050</v>
      </c>
      <c r="DX253" s="264">
        <v>1</v>
      </c>
      <c r="DY253" s="264" t="s">
        <v>1365</v>
      </c>
      <c r="DZ253" s="264">
        <v>1</v>
      </c>
      <c r="EA253" s="264" t="s">
        <v>1449</v>
      </c>
      <c r="EB253" s="264">
        <v>1</v>
      </c>
      <c r="EC253" s="264" t="s">
        <v>678</v>
      </c>
      <c r="ED253" s="264" t="s">
        <v>788</v>
      </c>
      <c r="EE253" s="264">
        <v>3</v>
      </c>
      <c r="EF253" s="264"/>
      <c r="EG253" s="264"/>
      <c r="EH253" s="264"/>
      <c r="EI253" s="264">
        <v>1</v>
      </c>
      <c r="EJ253" s="264"/>
      <c r="EK253" s="264"/>
      <c r="EL253" s="264"/>
      <c r="EM253" s="264"/>
      <c r="EN253" s="264"/>
      <c r="EO253" s="264"/>
      <c r="EP253" s="264"/>
      <c r="EQ253" s="264">
        <v>2</v>
      </c>
      <c r="ER253" s="264"/>
      <c r="ES253" s="264">
        <v>2</v>
      </c>
      <c r="ET253" s="264"/>
      <c r="EU253" s="264"/>
    </row>
    <row r="254" spans="1:151">
      <c r="A254" s="160"/>
      <c r="B254" s="1" t="s">
        <v>1</v>
      </c>
      <c r="C254" s="264" t="s">
        <v>649</v>
      </c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 t="s">
        <v>652</v>
      </c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 t="s">
        <v>37</v>
      </c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 t="s">
        <v>653</v>
      </c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 t="s">
        <v>654</v>
      </c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 t="s">
        <v>649</v>
      </c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 t="s">
        <v>655</v>
      </c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 t="s">
        <v>37</v>
      </c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>
        <v>3524</v>
      </c>
      <c r="D255" s="264"/>
      <c r="E255" s="264">
        <v>1886</v>
      </c>
      <c r="F255" s="264"/>
      <c r="G255" s="264">
        <v>3524</v>
      </c>
      <c r="H255" s="264"/>
      <c r="I255" s="264">
        <v>1886</v>
      </c>
      <c r="J255" s="264"/>
      <c r="K255" s="264">
        <v>1608</v>
      </c>
      <c r="L255" s="264"/>
      <c r="M255" s="264">
        <v>18</v>
      </c>
      <c r="N255" s="264" t="s">
        <v>917</v>
      </c>
      <c r="O255" s="264">
        <v>706</v>
      </c>
      <c r="P255" s="264"/>
      <c r="Q255" s="264">
        <v>432</v>
      </c>
      <c r="R255" s="264"/>
      <c r="S255" s="264">
        <v>270</v>
      </c>
      <c r="T255" s="264"/>
      <c r="U255" s="264" t="s">
        <v>880</v>
      </c>
      <c r="V255" s="264">
        <v>133</v>
      </c>
      <c r="W255" s="66">
        <v>43556</v>
      </c>
      <c r="X255" s="264">
        <v>1497</v>
      </c>
      <c r="Y255" s="264"/>
      <c r="Z255" s="264">
        <v>1000</v>
      </c>
      <c r="AA255" s="264"/>
      <c r="AB255" s="264">
        <v>396</v>
      </c>
      <c r="AC255" s="264" t="s">
        <v>1098</v>
      </c>
      <c r="AD255" s="264">
        <v>2027</v>
      </c>
      <c r="AE255" s="264"/>
      <c r="AF255" s="264">
        <v>886</v>
      </c>
      <c r="AG255" s="264"/>
      <c r="AH255" s="264">
        <v>1212</v>
      </c>
      <c r="AI255" s="264" t="s">
        <v>1109</v>
      </c>
      <c r="AJ255" s="264">
        <v>507</v>
      </c>
      <c r="AK255" s="264"/>
      <c r="AL255" s="264">
        <v>5</v>
      </c>
      <c r="AM255" s="264"/>
      <c r="AN255" s="264">
        <v>1128</v>
      </c>
      <c r="AO255" s="264"/>
      <c r="AP255" s="264" t="s">
        <v>1055</v>
      </c>
      <c r="AQ255" s="264">
        <v>151</v>
      </c>
      <c r="AR255" s="264"/>
      <c r="AS255" s="264">
        <v>702</v>
      </c>
      <c r="AT255" s="264"/>
      <c r="AU255" s="66">
        <v>43727</v>
      </c>
      <c r="AV255" s="264">
        <v>356</v>
      </c>
      <c r="AW255" s="264"/>
      <c r="AX255" s="264">
        <v>81</v>
      </c>
      <c r="AY255" s="264"/>
      <c r="AZ255" s="66">
        <v>43528</v>
      </c>
      <c r="BA255" s="264">
        <v>1099</v>
      </c>
      <c r="BB255" s="264"/>
      <c r="BC255" s="264" t="s">
        <v>725</v>
      </c>
      <c r="BD255" s="264">
        <v>781</v>
      </c>
      <c r="BE255" s="264"/>
      <c r="BF255" s="264" t="s">
        <v>1083</v>
      </c>
      <c r="BG255" s="264">
        <v>1172</v>
      </c>
      <c r="BH255" s="264"/>
      <c r="BI255" s="264" t="s">
        <v>808</v>
      </c>
      <c r="BJ255" s="264">
        <v>181</v>
      </c>
      <c r="BK255" s="264"/>
      <c r="BL255" s="66">
        <v>43625</v>
      </c>
      <c r="BM255" s="264">
        <v>94</v>
      </c>
      <c r="BN255" s="264" t="s">
        <v>780</v>
      </c>
      <c r="BO255" s="264">
        <v>81</v>
      </c>
      <c r="BP255" s="264">
        <v>22</v>
      </c>
      <c r="BQ255" s="264">
        <v>18</v>
      </c>
      <c r="BR255" s="264"/>
      <c r="BS255" s="264" t="s">
        <v>651</v>
      </c>
      <c r="BT255" s="264">
        <v>5</v>
      </c>
      <c r="BU255" s="264">
        <v>4</v>
      </c>
      <c r="BV255" s="264"/>
      <c r="BW255" s="264" t="s">
        <v>651</v>
      </c>
      <c r="BX255" s="264">
        <v>74</v>
      </c>
      <c r="BY255" s="264">
        <v>62</v>
      </c>
      <c r="BZ255" s="264">
        <v>3</v>
      </c>
      <c r="CA255" s="264" t="s">
        <v>1225</v>
      </c>
      <c r="CB255" s="264">
        <v>12</v>
      </c>
      <c r="CC255" s="264">
        <v>5</v>
      </c>
      <c r="CD255" s="264"/>
      <c r="CE255" s="264" t="s">
        <v>651</v>
      </c>
      <c r="CF255" s="264">
        <v>14</v>
      </c>
      <c r="CG255" s="264">
        <v>13</v>
      </c>
      <c r="CH255" s="264">
        <v>6</v>
      </c>
      <c r="CI255" s="264" t="s">
        <v>686</v>
      </c>
      <c r="CJ255" s="264">
        <v>91</v>
      </c>
      <c r="CK255" s="264">
        <v>52</v>
      </c>
      <c r="CL255" s="264">
        <v>33</v>
      </c>
      <c r="CM255" s="264" t="s">
        <v>974</v>
      </c>
      <c r="CN255" s="264">
        <v>3</v>
      </c>
      <c r="CO255" s="264"/>
      <c r="CP255" s="264" t="s">
        <v>651</v>
      </c>
      <c r="CQ255" s="264">
        <v>19</v>
      </c>
      <c r="CR255" s="264">
        <v>11</v>
      </c>
      <c r="CS255" s="264">
        <v>15</v>
      </c>
      <c r="CT255" s="264" t="s">
        <v>1001</v>
      </c>
      <c r="CU255" s="264">
        <v>1368</v>
      </c>
      <c r="CV255" s="264">
        <v>521</v>
      </c>
      <c r="CW255" s="264">
        <v>988</v>
      </c>
      <c r="CX255" s="264" t="s">
        <v>970</v>
      </c>
      <c r="CY255" s="264">
        <v>70</v>
      </c>
      <c r="CZ255" s="264">
        <v>48</v>
      </c>
      <c r="DA255" s="264">
        <v>31</v>
      </c>
      <c r="DB255" s="264" t="s">
        <v>919</v>
      </c>
      <c r="DC255" s="264">
        <v>9</v>
      </c>
      <c r="DD255" s="264">
        <v>6</v>
      </c>
      <c r="DE255" s="264">
        <v>1</v>
      </c>
      <c r="DF255" s="264">
        <v>343</v>
      </c>
      <c r="DG255" s="264">
        <v>72</v>
      </c>
      <c r="DH255" s="264">
        <v>270</v>
      </c>
      <c r="DI255" s="66">
        <v>43486</v>
      </c>
      <c r="DJ255" s="264">
        <v>8</v>
      </c>
      <c r="DK255" s="264">
        <v>2</v>
      </c>
      <c r="DL255" s="264">
        <v>2</v>
      </c>
      <c r="DM255" s="264" t="s">
        <v>657</v>
      </c>
      <c r="DN255" s="264">
        <v>40</v>
      </c>
      <c r="DO255" s="264">
        <v>42</v>
      </c>
      <c r="DP255" s="264">
        <v>7</v>
      </c>
      <c r="DQ255" s="264" t="s">
        <v>660</v>
      </c>
      <c r="DR255" s="264">
        <v>158</v>
      </c>
      <c r="DS255" s="264"/>
      <c r="DT255" s="264">
        <v>136</v>
      </c>
      <c r="DU255" s="264"/>
      <c r="DV255" s="264">
        <v>70</v>
      </c>
      <c r="DW255" s="264"/>
      <c r="DX255" s="264">
        <v>80</v>
      </c>
      <c r="DY255" s="264"/>
      <c r="DZ255" s="264">
        <v>71</v>
      </c>
      <c r="EA255" s="264"/>
      <c r="EB255" s="264">
        <v>34</v>
      </c>
      <c r="EC255" s="264"/>
      <c r="ED255" s="264" t="s">
        <v>844</v>
      </c>
      <c r="EE255" s="264">
        <v>31</v>
      </c>
      <c r="EF255" s="264"/>
      <c r="EG255" s="264"/>
      <c r="EH255" s="264"/>
      <c r="EI255" s="264">
        <v>12</v>
      </c>
      <c r="EJ255" s="264"/>
      <c r="EK255" s="264"/>
      <c r="EL255" s="264">
        <v>2</v>
      </c>
      <c r="EM255" s="264"/>
      <c r="EN255" s="264">
        <v>9</v>
      </c>
      <c r="EO255" s="264">
        <v>2</v>
      </c>
      <c r="EP255" s="264"/>
      <c r="EQ255" s="264">
        <v>22</v>
      </c>
      <c r="ER255" s="264">
        <v>2</v>
      </c>
      <c r="ES255" s="264">
        <v>5</v>
      </c>
      <c r="ET255" s="264">
        <v>2</v>
      </c>
      <c r="EU255" s="264">
        <v>1</v>
      </c>
    </row>
    <row r="256" spans="1:151">
      <c r="A256" s="160"/>
      <c r="B256" s="264" t="s">
        <v>424</v>
      </c>
      <c r="C256" s="264">
        <v>3565</v>
      </c>
      <c r="D256" s="66">
        <v>43497</v>
      </c>
      <c r="E256" s="264">
        <v>1790</v>
      </c>
      <c r="F256" s="264" t="s">
        <v>1130</v>
      </c>
      <c r="G256" s="264">
        <v>3565</v>
      </c>
      <c r="H256" s="66">
        <v>43497</v>
      </c>
      <c r="I256" s="264">
        <v>1790</v>
      </c>
      <c r="J256" s="264" t="s">
        <v>1130</v>
      </c>
      <c r="K256" s="264">
        <v>1454</v>
      </c>
      <c r="L256" s="264" t="s">
        <v>1090</v>
      </c>
      <c r="M256" s="264">
        <v>33</v>
      </c>
      <c r="N256" s="264" t="s">
        <v>828</v>
      </c>
      <c r="O256" s="264">
        <v>685</v>
      </c>
      <c r="P256" s="264" t="s">
        <v>1218</v>
      </c>
      <c r="Q256" s="264">
        <v>309</v>
      </c>
      <c r="R256" s="264" t="s">
        <v>1326</v>
      </c>
      <c r="S256" s="264">
        <v>304</v>
      </c>
      <c r="T256" s="66">
        <v>43628</v>
      </c>
      <c r="U256" s="264" t="s">
        <v>1388</v>
      </c>
      <c r="V256" s="264">
        <v>86</v>
      </c>
      <c r="W256" s="264" t="s">
        <v>1336</v>
      </c>
      <c r="X256" s="264">
        <v>1521</v>
      </c>
      <c r="Y256" s="66">
        <v>43617</v>
      </c>
      <c r="Z256" s="264">
        <v>1012</v>
      </c>
      <c r="AA256" s="66">
        <v>43497</v>
      </c>
      <c r="AB256" s="264">
        <v>363</v>
      </c>
      <c r="AC256" s="264" t="s">
        <v>665</v>
      </c>
      <c r="AD256" s="264">
        <v>2044</v>
      </c>
      <c r="AE256" s="264" t="s">
        <v>893</v>
      </c>
      <c r="AF256" s="264">
        <v>778</v>
      </c>
      <c r="AG256" s="264" t="s">
        <v>861</v>
      </c>
      <c r="AH256" s="264">
        <v>1091</v>
      </c>
      <c r="AI256" s="264" t="s">
        <v>1307</v>
      </c>
      <c r="AJ256" s="264">
        <v>500</v>
      </c>
      <c r="AK256" s="264" t="s">
        <v>1418</v>
      </c>
      <c r="AL256" s="264">
        <v>9</v>
      </c>
      <c r="AM256" s="264" t="s">
        <v>693</v>
      </c>
      <c r="AN256" s="264">
        <v>1125</v>
      </c>
      <c r="AO256" s="264" t="s">
        <v>1394</v>
      </c>
      <c r="AP256" s="264" t="s">
        <v>1025</v>
      </c>
      <c r="AQ256" s="264">
        <v>113</v>
      </c>
      <c r="AR256" s="264" t="s">
        <v>1412</v>
      </c>
      <c r="AS256" s="264">
        <v>674</v>
      </c>
      <c r="AT256" s="264" t="s">
        <v>998</v>
      </c>
      <c r="AU256" s="66">
        <v>43726</v>
      </c>
      <c r="AV256" s="264">
        <v>300</v>
      </c>
      <c r="AW256" s="264" t="s">
        <v>832</v>
      </c>
      <c r="AX256" s="264">
        <v>84</v>
      </c>
      <c r="AY256" s="66">
        <v>43649</v>
      </c>
      <c r="AZ256" s="66">
        <v>43650</v>
      </c>
      <c r="BA256" s="264">
        <v>1070</v>
      </c>
      <c r="BB256" s="264" t="s">
        <v>1360</v>
      </c>
      <c r="BC256" s="264" t="s">
        <v>1370</v>
      </c>
      <c r="BD256" s="264">
        <v>647</v>
      </c>
      <c r="BE256" s="264" t="s">
        <v>1377</v>
      </c>
      <c r="BF256" s="264" t="s">
        <v>1330</v>
      </c>
      <c r="BG256" s="264">
        <v>1159</v>
      </c>
      <c r="BH256" s="264" t="s">
        <v>1122</v>
      </c>
      <c r="BI256" s="264" t="s">
        <v>750</v>
      </c>
      <c r="BJ256" s="264">
        <v>137</v>
      </c>
      <c r="BK256" s="264" t="s">
        <v>1063</v>
      </c>
      <c r="BL256" s="66">
        <v>43653</v>
      </c>
      <c r="BM256" s="264">
        <v>120</v>
      </c>
      <c r="BN256" s="264" t="s">
        <v>1222</v>
      </c>
      <c r="BO256" s="264">
        <v>11</v>
      </c>
      <c r="BP256" s="264">
        <v>27</v>
      </c>
      <c r="BQ256" s="264">
        <v>19</v>
      </c>
      <c r="BR256" s="264">
        <v>1</v>
      </c>
      <c r="BS256" s="264" t="s">
        <v>1020</v>
      </c>
      <c r="BT256" s="264">
        <v>2</v>
      </c>
      <c r="BU256" s="264">
        <v>1</v>
      </c>
      <c r="BV256" s="264"/>
      <c r="BW256" s="264" t="s">
        <v>651</v>
      </c>
      <c r="BX256" s="264">
        <v>66</v>
      </c>
      <c r="BY256" s="264">
        <v>45</v>
      </c>
      <c r="BZ256" s="264">
        <v>9</v>
      </c>
      <c r="CA256" s="264" t="s">
        <v>674</v>
      </c>
      <c r="CB256" s="264">
        <v>11</v>
      </c>
      <c r="CC256" s="264">
        <v>8</v>
      </c>
      <c r="CD256" s="264">
        <v>2</v>
      </c>
      <c r="CE256" s="264" t="s">
        <v>693</v>
      </c>
      <c r="CF256" s="264">
        <v>16</v>
      </c>
      <c r="CG256" s="264">
        <v>13</v>
      </c>
      <c r="CH256" s="264"/>
      <c r="CI256" s="264" t="s">
        <v>651</v>
      </c>
      <c r="CJ256" s="264">
        <v>84</v>
      </c>
      <c r="CK256" s="264">
        <v>47</v>
      </c>
      <c r="CL256" s="264">
        <v>23</v>
      </c>
      <c r="CM256" s="264" t="s">
        <v>1439</v>
      </c>
      <c r="CN256" s="264"/>
      <c r="CO256" s="264" t="s">
        <v>650</v>
      </c>
      <c r="CP256" s="264"/>
      <c r="CQ256" s="264">
        <v>17</v>
      </c>
      <c r="CR256" s="264">
        <v>2</v>
      </c>
      <c r="CS256" s="264">
        <v>17</v>
      </c>
      <c r="CT256" s="66">
        <v>43595</v>
      </c>
      <c r="CU256" s="264">
        <v>1421</v>
      </c>
      <c r="CV256" s="264">
        <v>570</v>
      </c>
      <c r="CW256" s="264">
        <v>887</v>
      </c>
      <c r="CX256" s="264" t="s">
        <v>1024</v>
      </c>
      <c r="CY256" s="264">
        <v>55</v>
      </c>
      <c r="CZ256" s="264">
        <v>30</v>
      </c>
      <c r="DA256" s="264">
        <v>22</v>
      </c>
      <c r="DB256" s="264" t="s">
        <v>1061</v>
      </c>
      <c r="DC256" s="264">
        <v>15</v>
      </c>
      <c r="DD256" s="264">
        <v>11</v>
      </c>
      <c r="DE256" s="264">
        <v>1</v>
      </c>
      <c r="DF256" s="264">
        <v>374</v>
      </c>
      <c r="DG256" s="264">
        <v>67</v>
      </c>
      <c r="DH256" s="264">
        <v>224</v>
      </c>
      <c r="DI256" s="264" t="s">
        <v>921</v>
      </c>
      <c r="DJ256" s="264">
        <v>12</v>
      </c>
      <c r="DK256" s="264">
        <v>5</v>
      </c>
      <c r="DL256" s="264">
        <v>6</v>
      </c>
      <c r="DM256" s="264" t="s">
        <v>801</v>
      </c>
      <c r="DN256" s="264">
        <v>47</v>
      </c>
      <c r="DO256" s="264">
        <v>34</v>
      </c>
      <c r="DP256" s="264">
        <v>7</v>
      </c>
      <c r="DQ256" s="264" t="s">
        <v>1062</v>
      </c>
      <c r="DR256" s="264">
        <v>129</v>
      </c>
      <c r="DS256" s="264" t="s">
        <v>1364</v>
      </c>
      <c r="DT256" s="264">
        <v>119</v>
      </c>
      <c r="DU256" s="264" t="s">
        <v>785</v>
      </c>
      <c r="DV256" s="264">
        <v>72</v>
      </c>
      <c r="DW256" s="66">
        <v>43710</v>
      </c>
      <c r="DX256" s="264">
        <v>48</v>
      </c>
      <c r="DY256" s="264" t="s">
        <v>706</v>
      </c>
      <c r="DZ256" s="264">
        <v>41</v>
      </c>
      <c r="EA256" s="264" t="s">
        <v>1216</v>
      </c>
      <c r="EB256" s="264">
        <v>19</v>
      </c>
      <c r="EC256" s="264" t="s">
        <v>951</v>
      </c>
      <c r="ED256" s="66">
        <v>43674</v>
      </c>
      <c r="EE256" s="264">
        <v>46</v>
      </c>
      <c r="EF256" s="264">
        <v>2</v>
      </c>
      <c r="EG256" s="264"/>
      <c r="EH256" s="264"/>
      <c r="EI256" s="264">
        <v>11</v>
      </c>
      <c r="EJ256" s="264"/>
      <c r="EK256" s="264">
        <v>1</v>
      </c>
      <c r="EL256" s="264">
        <v>3</v>
      </c>
      <c r="EM256" s="264"/>
      <c r="EN256" s="264">
        <v>8</v>
      </c>
      <c r="EO256" s="264">
        <v>3</v>
      </c>
      <c r="EP256" s="264">
        <v>1</v>
      </c>
      <c r="EQ256" s="264">
        <v>10</v>
      </c>
      <c r="ER256" s="264"/>
      <c r="ES256" s="264">
        <v>4</v>
      </c>
      <c r="ET256" s="264"/>
      <c r="EU256" s="264"/>
    </row>
    <row r="257" spans="1:151">
      <c r="A257" s="160"/>
      <c r="B257" s="160" t="s">
        <v>1</v>
      </c>
      <c r="C257" s="264" t="s">
        <v>649</v>
      </c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 t="s">
        <v>652</v>
      </c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 t="s">
        <v>37</v>
      </c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 t="s">
        <v>653</v>
      </c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 t="s">
        <v>654</v>
      </c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 t="s">
        <v>649</v>
      </c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 t="s">
        <v>655</v>
      </c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 t="s">
        <v>37</v>
      </c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</row>
    <row r="259" spans="1:151">
      <c r="A259" s="160"/>
      <c r="B259" s="160"/>
    </row>
    <row r="260" spans="1:151">
      <c r="A260" s="160"/>
      <c r="B260" s="160"/>
    </row>
    <row r="261" spans="1:151">
      <c r="A261" s="160"/>
      <c r="B261" s="160"/>
      <c r="AP261" s="66"/>
      <c r="AZ261" s="66"/>
      <c r="BL261" s="66"/>
    </row>
    <row r="262" spans="1:151">
      <c r="A262" s="160"/>
      <c r="B262" s="160"/>
      <c r="D262" s="66"/>
      <c r="F262" s="66"/>
      <c r="H262" s="66"/>
      <c r="J262" s="66"/>
      <c r="L262" s="66"/>
      <c r="AA262" s="66"/>
      <c r="AO262" s="66"/>
      <c r="AP262" s="66"/>
      <c r="AT262" s="66"/>
      <c r="AU262" s="66"/>
      <c r="AY262" s="66"/>
      <c r="AZ262" s="66"/>
      <c r="BE262" s="66"/>
      <c r="BH262" s="66"/>
      <c r="BK262" s="66"/>
      <c r="BL262" s="66"/>
      <c r="DI262" s="66"/>
      <c r="ED262" s="66"/>
    </row>
    <row r="263" spans="1:151">
      <c r="A263" s="160"/>
      <c r="B263" s="160"/>
    </row>
    <row r="264" spans="1:151">
      <c r="A264" s="160"/>
      <c r="B264" s="160"/>
      <c r="AU264" s="66"/>
    </row>
    <row r="265" spans="1:151">
      <c r="A265" s="160"/>
      <c r="B265" s="160"/>
      <c r="D265" s="66"/>
      <c r="H265" s="66"/>
      <c r="L265" s="66"/>
      <c r="P265" s="66"/>
      <c r="T265" s="66"/>
      <c r="AE265" s="66"/>
      <c r="AU265" s="66"/>
      <c r="AW265" s="66"/>
      <c r="AZ265" s="66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ED267" s="66"/>
    </row>
    <row r="268" spans="1:151">
      <c r="A268" s="160"/>
      <c r="B268" s="160"/>
      <c r="D268" s="66"/>
      <c r="F268" s="66"/>
      <c r="H268" s="66"/>
      <c r="J268" s="66"/>
      <c r="P268" s="66"/>
      <c r="T268" s="66"/>
      <c r="Y268" s="66"/>
      <c r="AA268" s="66"/>
      <c r="AE268" s="66"/>
      <c r="AT268" s="66"/>
      <c r="AU268" s="66"/>
      <c r="AY268" s="66"/>
      <c r="BH268" s="66"/>
      <c r="BK268" s="66"/>
      <c r="BL268" s="66"/>
      <c r="CT268" s="66"/>
      <c r="ED268" s="66"/>
    </row>
    <row r="269" spans="1:151">
      <c r="A269" s="160"/>
      <c r="B269" s="160"/>
    </row>
  </sheetData>
  <autoFilter ref="A5:U269">
    <filterColumn colId="0" showButton="0"/>
  </autoFilter>
  <mergeCells count="153">
    <mergeCell ref="ED2:ED4"/>
    <mergeCell ref="DR3:DR4"/>
    <mergeCell ref="DS3:DS4"/>
    <mergeCell ref="DT3:DU3"/>
    <mergeCell ref="DW3:DW4"/>
    <mergeCell ref="DV3:DV4"/>
    <mergeCell ref="DR2:DW2"/>
    <mergeCell ref="DX2:EC2"/>
    <mergeCell ref="DX3:DX4"/>
    <mergeCell ref="DY3:DY4"/>
    <mergeCell ref="DZ3:EA3"/>
    <mergeCell ref="EB3:EB4"/>
    <mergeCell ref="EC3:EC4"/>
    <mergeCell ref="DJ2:DM2"/>
    <mergeCell ref="DJ3:DJ4"/>
    <mergeCell ref="DK3:DK4"/>
    <mergeCell ref="DL3:DL4"/>
    <mergeCell ref="DM3:DM4"/>
    <mergeCell ref="DN2:DQ2"/>
    <mergeCell ref="DN3:DN4"/>
    <mergeCell ref="DO3:DO4"/>
    <mergeCell ref="DP3:DP4"/>
    <mergeCell ref="DQ3:DQ4"/>
    <mergeCell ref="DC2:DE2"/>
    <mergeCell ref="DC3:DC4"/>
    <mergeCell ref="DD3:DD4"/>
    <mergeCell ref="DE3:DE4"/>
    <mergeCell ref="DF3:DF4"/>
    <mergeCell ref="DF2:DI2"/>
    <mergeCell ref="DG3:DG4"/>
    <mergeCell ref="DH3:DH4"/>
    <mergeCell ref="DI3:DI4"/>
    <mergeCell ref="CU2:CX2"/>
    <mergeCell ref="CU3:CU4"/>
    <mergeCell ref="CV3:CV4"/>
    <mergeCell ref="CW3:CW4"/>
    <mergeCell ref="CX3:CX4"/>
    <mergeCell ref="CY2:DB2"/>
    <mergeCell ref="CY3:CY4"/>
    <mergeCell ref="CZ3:CZ4"/>
    <mergeCell ref="DA3:DA4"/>
    <mergeCell ref="DB3:DB4"/>
    <mergeCell ref="CN2:CP2"/>
    <mergeCell ref="CN3:CN4"/>
    <mergeCell ref="CO3:CO4"/>
    <mergeCell ref="CP3:CP4"/>
    <mergeCell ref="CQ2:CT2"/>
    <mergeCell ref="CQ3:CQ4"/>
    <mergeCell ref="CR3:CR4"/>
    <mergeCell ref="CS3:CS4"/>
    <mergeCell ref="CT3:CT4"/>
    <mergeCell ref="CF2:CI2"/>
    <mergeCell ref="CF3:CF4"/>
    <mergeCell ref="CG3:CG4"/>
    <mergeCell ref="CH3:CH4"/>
    <mergeCell ref="CI3:CI4"/>
    <mergeCell ref="CJ2:CM2"/>
    <mergeCell ref="CJ3:CJ4"/>
    <mergeCell ref="CK3:CK4"/>
    <mergeCell ref="CL3:CL4"/>
    <mergeCell ref="CM3:CM4"/>
    <mergeCell ref="AL3:AL4"/>
    <mergeCell ref="AM3:AM4"/>
    <mergeCell ref="AL2:AM2"/>
    <mergeCell ref="BD3:BF3"/>
    <mergeCell ref="BG3:BI3"/>
    <mergeCell ref="BJ3:BO3"/>
    <mergeCell ref="BD2:BO2"/>
    <mergeCell ref="BP3:BP4"/>
    <mergeCell ref="AN2:AU2"/>
    <mergeCell ref="AV2:AW3"/>
    <mergeCell ref="AX3:AZ3"/>
    <mergeCell ref="BA3:BC3"/>
    <mergeCell ref="AX2:BC2"/>
    <mergeCell ref="AN3:AN4"/>
    <mergeCell ref="AO3:AO4"/>
    <mergeCell ref="AP3:AP4"/>
    <mergeCell ref="AQ3:AR3"/>
    <mergeCell ref="AS3:AU3"/>
    <mergeCell ref="BX2:CA2"/>
    <mergeCell ref="BX3:BX4"/>
    <mergeCell ref="BY3:BY4"/>
    <mergeCell ref="BZ3:BZ4"/>
    <mergeCell ref="CA3:CA4"/>
    <mergeCell ref="CB2:CE2"/>
    <mergeCell ref="CB3:CB4"/>
    <mergeCell ref="CC3:CC4"/>
    <mergeCell ref="CD3:CD4"/>
    <mergeCell ref="CE3:CE4"/>
    <mergeCell ref="A2:B5"/>
    <mergeCell ref="C3:C4"/>
    <mergeCell ref="C2:F2"/>
    <mergeCell ref="K3:K4"/>
    <mergeCell ref="J3:J4"/>
    <mergeCell ref="K2:M2"/>
    <mergeCell ref="I3:I4"/>
    <mergeCell ref="I2:J2"/>
    <mergeCell ref="H2:H4"/>
    <mergeCell ref="G2:G4"/>
    <mergeCell ref="F3:F4"/>
    <mergeCell ref="D3:D4"/>
    <mergeCell ref="E3:E4"/>
    <mergeCell ref="N2:N4"/>
    <mergeCell ref="M3:M4"/>
    <mergeCell ref="L3:L4"/>
    <mergeCell ref="O3:P3"/>
    <mergeCell ref="Q3:R3"/>
    <mergeCell ref="S3:S4"/>
    <mergeCell ref="T3:T4"/>
    <mergeCell ref="AJ3:AJ4"/>
    <mergeCell ref="AK3:AK4"/>
    <mergeCell ref="AJ2:AK2"/>
    <mergeCell ref="AB3:AB4"/>
    <mergeCell ref="AC3:AC4"/>
    <mergeCell ref="X2:AC2"/>
    <mergeCell ref="AD2:AI2"/>
    <mergeCell ref="AD3:AE3"/>
    <mergeCell ref="AF3:AG3"/>
    <mergeCell ref="AH3:AH4"/>
    <mergeCell ref="AI3:AI4"/>
    <mergeCell ref="U3:U4"/>
    <mergeCell ref="V2:W3"/>
    <mergeCell ref="X3:Y3"/>
    <mergeCell ref="Z3:AA3"/>
    <mergeCell ref="O2:U2"/>
    <mergeCell ref="BQ3:BQ4"/>
    <mergeCell ref="BR3:BR4"/>
    <mergeCell ref="BS3:BS4"/>
    <mergeCell ref="BP2:BS2"/>
    <mergeCell ref="BT2:BW2"/>
    <mergeCell ref="BT3:BT4"/>
    <mergeCell ref="BU3:BU4"/>
    <mergeCell ref="BV3:BV4"/>
    <mergeCell ref="BW3:BW4"/>
    <mergeCell ref="EE2:EE4"/>
    <mergeCell ref="EF3:EF4"/>
    <mergeCell ref="EG3:EG4"/>
    <mergeCell ref="EH3:EH4"/>
    <mergeCell ref="EI3:EI4"/>
    <mergeCell ref="EJ3:EJ4"/>
    <mergeCell ref="EK3:EK4"/>
    <mergeCell ref="EF2:EK2"/>
    <mergeCell ref="EL2:EL4"/>
    <mergeCell ref="EM2:EM4"/>
    <mergeCell ref="EN2:EN4"/>
    <mergeCell ref="EO2:EO4"/>
    <mergeCell ref="EQ2:EQ4"/>
    <mergeCell ref="ER3:ER4"/>
    <mergeCell ref="ES3:ES4"/>
    <mergeCell ref="ET3:ET4"/>
    <mergeCell ref="EU3:EU4"/>
    <mergeCell ref="ER2:EU2"/>
    <mergeCell ref="EP2:EP4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100</v>
      </c>
      <c r="D1" s="2">
        <v>12</v>
      </c>
    </row>
    <row r="2" spans="1:15">
      <c r="D2" s="2">
        <v>13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7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0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33</v>
      </c>
      <c r="D1" s="2">
        <v>180</v>
      </c>
    </row>
    <row r="2" spans="1:15">
      <c r="D2" s="2">
        <f>D1+1</f>
        <v>181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165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137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44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61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53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9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5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33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17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107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99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6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5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45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30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62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51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8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3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57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50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15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27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107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0.75886524822695034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99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27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0.7857142857142857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27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0.71052631578947367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0.88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3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3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0.75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4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3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17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0.64583333333333337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35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13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0.72916666666666663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0.33333333333333331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2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8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101</v>
      </c>
      <c r="D1" s="2">
        <v>249</v>
      </c>
    </row>
    <row r="2" spans="1:15">
      <c r="D2" s="2">
        <f>D1+1</f>
        <v>250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7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13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5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0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6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5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1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1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102</v>
      </c>
      <c r="D1" s="2">
        <v>165</v>
      </c>
    </row>
    <row r="2" spans="1:15">
      <c r="D2" s="2">
        <f>D1+1</f>
        <v>166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7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0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0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7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0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7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0.77777777777777779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103</v>
      </c>
      <c r="D1" s="2">
        <v>207</v>
      </c>
      <c r="K1" s="2">
        <v>207</v>
      </c>
    </row>
    <row r="2" spans="1:15">
      <c r="D2" s="2">
        <f>D1+1</f>
        <v>208</v>
      </c>
      <c r="K2" s="2">
        <v>208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33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31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10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5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32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26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16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10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23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14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23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19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8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5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32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0.91428571428571426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26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0.8666666666666667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5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0.625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104</v>
      </c>
      <c r="D1" s="2">
        <v>231</v>
      </c>
    </row>
    <row r="2" spans="1:15">
      <c r="D2" s="2">
        <f>D1+1</f>
        <v>232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7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6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0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6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4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6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105</v>
      </c>
      <c r="D1" s="2">
        <v>183</v>
      </c>
    </row>
    <row r="2" spans="1:15">
      <c r="D2" s="2">
        <f>D1+1</f>
        <v>184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13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11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34</v>
      </c>
      <c r="D1" s="2">
        <v>111</v>
      </c>
    </row>
    <row r="2" spans="1:15">
      <c r="D2" s="2">
        <f>D1+1</f>
        <v>112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31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27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11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12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3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12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11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3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11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11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9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8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0.66666666666666663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12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9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0.5714285714285714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0.33333333333333331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0.5714285714285714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106</v>
      </c>
      <c r="D1" s="2">
        <v>138</v>
      </c>
    </row>
    <row r="2" spans="1:15">
      <c r="D2" s="2">
        <f>D1+1</f>
        <v>139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25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22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4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10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9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11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15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6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7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11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0.61111111111111116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15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0.5714285714285714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107</v>
      </c>
      <c r="D1" s="2">
        <v>186</v>
      </c>
    </row>
    <row r="2" spans="1:15">
      <c r="D2" s="2">
        <f>D1+1</f>
        <v>187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38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23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4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2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24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20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11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12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13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13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9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8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6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8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24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0.77419354838709675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20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0.83333333333333337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8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0.88888888888888884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2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0.55555555555555558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6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EU271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157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1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1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156" t="s">
        <v>0</v>
      </c>
      <c r="P4" s="156" t="s">
        <v>236</v>
      </c>
      <c r="Q4" s="156" t="s">
        <v>0</v>
      </c>
      <c r="R4" s="156" t="s">
        <v>236</v>
      </c>
      <c r="S4" s="364"/>
      <c r="T4" s="364"/>
      <c r="U4" s="364"/>
      <c r="V4" s="157" t="s">
        <v>21</v>
      </c>
      <c r="W4" s="157" t="s">
        <v>260</v>
      </c>
      <c r="X4" s="157" t="s">
        <v>0</v>
      </c>
      <c r="Y4" s="157" t="s">
        <v>236</v>
      </c>
      <c r="Z4" s="157" t="s">
        <v>0</v>
      </c>
      <c r="AA4" s="157" t="s">
        <v>236</v>
      </c>
      <c r="AB4" s="363"/>
      <c r="AC4" s="363"/>
      <c r="AD4" s="157" t="s">
        <v>0</v>
      </c>
      <c r="AE4" s="157" t="s">
        <v>236</v>
      </c>
      <c r="AF4" s="157" t="s">
        <v>0</v>
      </c>
      <c r="AG4" s="15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156" t="s">
        <v>0</v>
      </c>
      <c r="AR4" s="156" t="s">
        <v>236</v>
      </c>
      <c r="AS4" s="156" t="s">
        <v>0</v>
      </c>
      <c r="AT4" s="156" t="s">
        <v>236</v>
      </c>
      <c r="AU4" s="156" t="s">
        <v>261</v>
      </c>
      <c r="AV4" s="156" t="s">
        <v>0</v>
      </c>
      <c r="AW4" s="156" t="s">
        <v>236</v>
      </c>
      <c r="AX4" s="156" t="s">
        <v>0</v>
      </c>
      <c r="AY4" s="156" t="s">
        <v>236</v>
      </c>
      <c r="AZ4" s="156" t="s">
        <v>261</v>
      </c>
      <c r="BA4" s="156" t="s">
        <v>0</v>
      </c>
      <c r="BB4" s="156" t="s">
        <v>236</v>
      </c>
      <c r="BC4" s="156" t="s">
        <v>261</v>
      </c>
      <c r="BD4" s="157" t="s">
        <v>0</v>
      </c>
      <c r="BE4" s="157" t="s">
        <v>236</v>
      </c>
      <c r="BF4" s="157" t="s">
        <v>261</v>
      </c>
      <c r="BG4" s="157" t="s">
        <v>0</v>
      </c>
      <c r="BH4" s="157" t="s">
        <v>236</v>
      </c>
      <c r="BI4" s="157" t="s">
        <v>261</v>
      </c>
      <c r="BJ4" s="157" t="s">
        <v>0</v>
      </c>
      <c r="BK4" s="157" t="s">
        <v>236</v>
      </c>
      <c r="BL4" s="157" t="s">
        <v>261</v>
      </c>
      <c r="BM4" s="157" t="s">
        <v>262</v>
      </c>
      <c r="BN4" s="157" t="s">
        <v>263</v>
      </c>
      <c r="BO4" s="15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1" s="6" customFormat="1">
      <c r="A5" s="367"/>
      <c r="B5" s="368"/>
      <c r="C5" s="156">
        <v>1</v>
      </c>
      <c r="D5" s="156">
        <v>2</v>
      </c>
      <c r="E5" s="156">
        <v>3</v>
      </c>
      <c r="F5" s="156">
        <v>4</v>
      </c>
      <c r="G5" s="156">
        <v>5</v>
      </c>
      <c r="H5" s="156">
        <v>6</v>
      </c>
      <c r="I5" s="156">
        <v>7</v>
      </c>
      <c r="J5" s="156">
        <v>8</v>
      </c>
      <c r="K5" s="156">
        <v>9</v>
      </c>
      <c r="L5" s="156">
        <v>10</v>
      </c>
      <c r="M5" s="156">
        <v>11</v>
      </c>
      <c r="N5" s="156">
        <v>12</v>
      </c>
      <c r="O5" s="156">
        <v>13</v>
      </c>
      <c r="P5" s="156">
        <v>14</v>
      </c>
      <c r="Q5" s="156">
        <v>15</v>
      </c>
      <c r="R5" s="156">
        <v>16</v>
      </c>
      <c r="S5" s="156">
        <v>17</v>
      </c>
      <c r="T5" s="156">
        <v>18</v>
      </c>
      <c r="U5" s="156">
        <v>19</v>
      </c>
      <c r="V5" s="157">
        <v>1</v>
      </c>
      <c r="W5" s="157">
        <v>2</v>
      </c>
      <c r="X5" s="157">
        <v>3</v>
      </c>
      <c r="Y5" s="157">
        <v>4</v>
      </c>
      <c r="Z5" s="157">
        <v>5</v>
      </c>
      <c r="AA5" s="157">
        <v>6</v>
      </c>
      <c r="AB5" s="157">
        <v>7</v>
      </c>
      <c r="AC5" s="157">
        <v>8</v>
      </c>
      <c r="AD5" s="157">
        <v>9</v>
      </c>
      <c r="AE5" s="157">
        <v>10</v>
      </c>
      <c r="AF5" s="157">
        <v>11</v>
      </c>
      <c r="AG5" s="157">
        <v>12</v>
      </c>
      <c r="AH5" s="157">
        <v>13</v>
      </c>
      <c r="AI5" s="157">
        <v>14</v>
      </c>
      <c r="AJ5" s="157">
        <v>15</v>
      </c>
      <c r="AK5" s="157">
        <v>16</v>
      </c>
      <c r="AL5" s="157">
        <v>17</v>
      </c>
      <c r="AM5" s="158">
        <v>18</v>
      </c>
      <c r="AN5" s="156">
        <v>1</v>
      </c>
      <c r="AO5" s="156">
        <v>2</v>
      </c>
      <c r="AP5" s="156">
        <v>3</v>
      </c>
      <c r="AQ5" s="156">
        <v>4</v>
      </c>
      <c r="AR5" s="156">
        <v>5</v>
      </c>
      <c r="AS5" s="156">
        <v>6</v>
      </c>
      <c r="AT5" s="156">
        <v>7</v>
      </c>
      <c r="AU5" s="156">
        <v>8</v>
      </c>
      <c r="AV5" s="156">
        <v>9</v>
      </c>
      <c r="AW5" s="156">
        <v>10</v>
      </c>
      <c r="AX5" s="156">
        <v>11</v>
      </c>
      <c r="AY5" s="156">
        <v>12</v>
      </c>
      <c r="AZ5" s="156">
        <v>13</v>
      </c>
      <c r="BA5" s="156">
        <v>14</v>
      </c>
      <c r="BB5" s="156">
        <v>15</v>
      </c>
      <c r="BC5" s="156">
        <v>16</v>
      </c>
      <c r="BD5" s="157">
        <v>1</v>
      </c>
      <c r="BE5" s="157">
        <v>2</v>
      </c>
      <c r="BF5" s="157">
        <v>3</v>
      </c>
      <c r="BG5" s="157">
        <v>4</v>
      </c>
      <c r="BH5" s="157">
        <v>5</v>
      </c>
      <c r="BI5" s="157">
        <v>6</v>
      </c>
      <c r="BJ5" s="157">
        <v>7</v>
      </c>
      <c r="BK5" s="157">
        <v>8</v>
      </c>
      <c r="BL5" s="157">
        <v>9</v>
      </c>
      <c r="BM5" s="157">
        <v>10</v>
      </c>
      <c r="BN5" s="157">
        <v>11</v>
      </c>
      <c r="BO5" s="15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59">
        <v>1</v>
      </c>
      <c r="BY5" s="159">
        <v>2</v>
      </c>
      <c r="BZ5" s="159">
        <v>3</v>
      </c>
      <c r="CA5" s="159">
        <v>4</v>
      </c>
      <c r="CB5" s="159">
        <v>5</v>
      </c>
      <c r="CC5" s="159">
        <v>6</v>
      </c>
      <c r="CD5" s="159">
        <v>7</v>
      </c>
      <c r="CE5" s="159">
        <v>8</v>
      </c>
      <c r="CF5" s="159">
        <v>9</v>
      </c>
      <c r="CG5" s="159">
        <v>10</v>
      </c>
      <c r="CH5" s="159">
        <v>11</v>
      </c>
      <c r="CI5" s="159">
        <v>12</v>
      </c>
      <c r="CJ5" s="159">
        <v>13</v>
      </c>
      <c r="CK5" s="159">
        <v>14</v>
      </c>
      <c r="CL5" s="159">
        <v>15</v>
      </c>
      <c r="CM5" s="159">
        <v>16</v>
      </c>
      <c r="CN5" s="159">
        <v>17</v>
      </c>
      <c r="CO5" s="159">
        <v>18</v>
      </c>
      <c r="CP5" s="159">
        <v>19</v>
      </c>
      <c r="CQ5" s="159">
        <v>20</v>
      </c>
      <c r="CR5" s="159">
        <v>21</v>
      </c>
      <c r="CS5" s="159">
        <v>22</v>
      </c>
      <c r="CT5" s="159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156">
        <v>1</v>
      </c>
      <c r="DS5" s="156">
        <v>2</v>
      </c>
      <c r="DT5" s="156">
        <v>3</v>
      </c>
      <c r="DU5" s="156">
        <v>4</v>
      </c>
      <c r="DV5" s="156">
        <v>5</v>
      </c>
      <c r="DW5" s="156">
        <v>6</v>
      </c>
      <c r="DX5" s="156">
        <v>7</v>
      </c>
      <c r="DY5" s="156">
        <v>8</v>
      </c>
      <c r="DZ5" s="156">
        <v>9</v>
      </c>
      <c r="EA5" s="156">
        <v>10</v>
      </c>
      <c r="EB5" s="156">
        <v>11</v>
      </c>
      <c r="EC5" s="156">
        <v>12</v>
      </c>
      <c r="ED5" s="156">
        <v>13</v>
      </c>
      <c r="EE5" s="157">
        <v>1</v>
      </c>
      <c r="EF5" s="157">
        <v>2</v>
      </c>
      <c r="EG5" s="157">
        <v>3</v>
      </c>
      <c r="EH5" s="157">
        <v>4</v>
      </c>
      <c r="EI5" s="157">
        <v>5</v>
      </c>
      <c r="EJ5" s="157">
        <v>6</v>
      </c>
      <c r="EK5" s="157">
        <v>7</v>
      </c>
      <c r="EL5" s="157">
        <v>8</v>
      </c>
      <c r="EM5" s="157">
        <v>9</v>
      </c>
      <c r="EN5" s="157">
        <v>10</v>
      </c>
      <c r="EO5" s="157">
        <v>11</v>
      </c>
      <c r="EP5" s="157">
        <v>12</v>
      </c>
      <c r="EQ5" s="157">
        <v>13</v>
      </c>
      <c r="ER5" s="157">
        <v>14</v>
      </c>
      <c r="ES5" s="157">
        <v>15</v>
      </c>
      <c r="ET5" s="157">
        <v>16</v>
      </c>
      <c r="EU5" s="157">
        <v>17</v>
      </c>
    </row>
    <row r="6" spans="1:151">
      <c r="A6" s="252"/>
      <c r="B6" s="264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66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264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>
      <c r="A9" s="255"/>
      <c r="B9" s="264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  <c r="AR9" s="264"/>
      <c r="AS9" s="264"/>
      <c r="AT9" s="264"/>
      <c r="AU9" s="264"/>
      <c r="AV9" s="264"/>
      <c r="AW9" s="264"/>
      <c r="AX9" s="264"/>
      <c r="AY9" s="264"/>
      <c r="AZ9" s="264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264"/>
      <c r="AV10" s="264"/>
      <c r="AW10" s="264"/>
      <c r="AX10" s="264"/>
      <c r="AY10" s="264"/>
      <c r="AZ10" s="264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66"/>
      <c r="AQ12" s="264"/>
      <c r="AR12" s="264"/>
      <c r="AS12" s="264"/>
      <c r="AT12" s="264"/>
      <c r="AU12" s="264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66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>
      <c r="A15" s="252"/>
      <c r="B15" s="264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66"/>
      <c r="G16" s="264"/>
      <c r="H16" s="264"/>
      <c r="I16" s="264"/>
      <c r="J16" s="66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66"/>
      <c r="AQ16" s="264"/>
      <c r="AR16" s="264"/>
      <c r="AS16" s="264"/>
      <c r="AT16" s="264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66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66"/>
      <c r="AL19" s="264"/>
      <c r="AM19" s="264"/>
      <c r="AN19" s="264"/>
      <c r="AO19" s="264"/>
      <c r="AP19" s="264"/>
      <c r="AQ19" s="264"/>
      <c r="AR19" s="264"/>
      <c r="AS19" s="264"/>
      <c r="AT19" s="264"/>
      <c r="AU19" s="66"/>
      <c r="AV19" s="264"/>
      <c r="AW19" s="264"/>
      <c r="AX19" s="264"/>
      <c r="AY19" s="264"/>
      <c r="AZ19" s="264"/>
      <c r="BA19" s="264"/>
      <c r="BB19" s="66"/>
      <c r="BC19" s="264"/>
      <c r="BD19" s="264"/>
      <c r="BE19" s="264"/>
      <c r="BF19" s="264"/>
      <c r="BG19" s="264"/>
      <c r="BH19" s="66"/>
      <c r="BI19" s="264"/>
      <c r="BJ19" s="264"/>
      <c r="BK19" s="264"/>
      <c r="BL19" s="264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264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264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/>
      <c r="D22" s="66"/>
      <c r="E22" s="264"/>
      <c r="F22" s="66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66"/>
      <c r="BA22" s="264"/>
      <c r="BB22" s="264"/>
      <c r="BC22" s="264"/>
      <c r="BD22" s="264"/>
      <c r="BE22" s="66"/>
      <c r="BF22" s="264"/>
      <c r="BG22" s="264"/>
      <c r="BH22" s="66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66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66"/>
      <c r="AV25" s="264"/>
      <c r="AW25" s="264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66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264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/>
      <c r="D28" s="264"/>
      <c r="E28" s="264"/>
      <c r="F28" s="66"/>
      <c r="G28" s="264"/>
      <c r="H28" s="264"/>
      <c r="I28" s="264"/>
      <c r="J28" s="66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66"/>
      <c r="AB28" s="264"/>
      <c r="AC28" s="264"/>
      <c r="AD28" s="264"/>
      <c r="AE28" s="264"/>
      <c r="AF28" s="264"/>
      <c r="AG28" s="66"/>
      <c r="AH28" s="264"/>
      <c r="AI28" s="264"/>
      <c r="AJ28" s="264"/>
      <c r="AK28" s="264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264"/>
      <c r="AX28" s="264"/>
      <c r="AY28" s="264"/>
      <c r="AZ28" s="66"/>
      <c r="BA28" s="264"/>
      <c r="BB28" s="264"/>
      <c r="BC28" s="264"/>
      <c r="BD28" s="264"/>
      <c r="BE28" s="264"/>
      <c r="BF28" s="66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264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264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66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66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66"/>
      <c r="AQ34" s="264"/>
      <c r="AR34" s="264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66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264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264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4" t="s">
        <v>1152</v>
      </c>
      <c r="C37" s="264"/>
      <c r="D37" s="264"/>
      <c r="E37" s="264"/>
      <c r="F37" s="66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66"/>
      <c r="S37" s="264"/>
      <c r="T37" s="264"/>
      <c r="U37" s="264"/>
      <c r="V37" s="264"/>
      <c r="W37" s="264"/>
      <c r="X37" s="264"/>
      <c r="Y37" s="264"/>
      <c r="Z37" s="264"/>
      <c r="AA37" s="66"/>
      <c r="AB37" s="264"/>
      <c r="AC37" s="264"/>
      <c r="AD37" s="264"/>
      <c r="AE37" s="264"/>
      <c r="AF37" s="264"/>
      <c r="AG37" s="66"/>
      <c r="AH37" s="264"/>
      <c r="AI37" s="264"/>
      <c r="AJ37" s="264"/>
      <c r="AK37" s="264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66"/>
      <c r="BC37" s="264"/>
      <c r="BD37" s="264"/>
      <c r="BE37" s="264"/>
      <c r="BF37" s="264"/>
      <c r="BG37" s="264"/>
      <c r="BH37" s="66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264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66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66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/>
      <c r="D43" s="264"/>
      <c r="E43" s="264"/>
      <c r="F43" s="66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66"/>
      <c r="AF43" s="264"/>
      <c r="AG43" s="264"/>
      <c r="AH43" s="264"/>
      <c r="AI43" s="264"/>
      <c r="AJ43" s="264"/>
      <c r="AK43" s="66"/>
      <c r="AL43" s="264"/>
      <c r="AM43" s="264"/>
      <c r="AN43" s="264"/>
      <c r="AO43" s="264"/>
      <c r="AP43" s="66"/>
      <c r="AQ43" s="264"/>
      <c r="AR43" s="264"/>
      <c r="AS43" s="264"/>
      <c r="AT43" s="264"/>
      <c r="AU43" s="264"/>
      <c r="AV43" s="264"/>
      <c r="AW43" s="264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66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/>
      <c r="D46" s="264"/>
      <c r="E46" s="264"/>
      <c r="F46" s="264"/>
      <c r="G46" s="264"/>
      <c r="H46" s="264"/>
      <c r="I46" s="264"/>
      <c r="J46" s="66"/>
      <c r="K46" s="264"/>
      <c r="L46" s="264"/>
      <c r="M46" s="264"/>
      <c r="N46" s="264"/>
      <c r="O46" s="264"/>
      <c r="P46" s="66"/>
      <c r="Q46" s="264"/>
      <c r="R46" s="66"/>
      <c r="S46" s="264"/>
      <c r="T46" s="264"/>
      <c r="U46" s="264"/>
      <c r="V46" s="264"/>
      <c r="W46" s="66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66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66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66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/>
      <c r="D49" s="264"/>
      <c r="E49" s="264"/>
      <c r="F49" s="66"/>
      <c r="G49" s="264"/>
      <c r="H49" s="264"/>
      <c r="I49" s="264"/>
      <c r="J49" s="264"/>
      <c r="K49" s="264"/>
      <c r="L49" s="264"/>
      <c r="M49" s="264"/>
      <c r="N49" s="264"/>
      <c r="O49" s="264"/>
      <c r="P49" s="66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66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264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264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264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/>
      <c r="D52" s="264"/>
      <c r="E52" s="264"/>
      <c r="F52" s="66"/>
      <c r="G52" s="264"/>
      <c r="H52" s="264"/>
      <c r="I52" s="264"/>
      <c r="J52" s="66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66"/>
      <c r="X52" s="264"/>
      <c r="Y52" s="66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66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4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66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66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264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264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66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66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66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66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264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66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66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66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66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264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/>
      <c r="D64" s="264"/>
      <c r="E64" s="264"/>
      <c r="F64" s="264"/>
      <c r="G64" s="264"/>
      <c r="H64" s="66"/>
      <c r="I64" s="264"/>
      <c r="J64" s="66"/>
      <c r="K64" s="264"/>
      <c r="L64" s="66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66"/>
      <c r="Z64" s="264"/>
      <c r="AA64" s="264"/>
      <c r="AB64" s="264"/>
      <c r="AC64" s="264"/>
      <c r="AD64" s="264"/>
      <c r="AE64" s="66"/>
      <c r="AF64" s="264"/>
      <c r="AG64" s="264"/>
      <c r="AH64" s="264"/>
      <c r="AI64" s="66"/>
      <c r="AJ64" s="264"/>
      <c r="AK64" s="264"/>
      <c r="AL64" s="264"/>
      <c r="AM64" s="264"/>
      <c r="AN64" s="264"/>
      <c r="AO64" s="66"/>
      <c r="AP64" s="264"/>
      <c r="AQ64" s="264"/>
      <c r="AR64" s="264"/>
      <c r="AS64" s="264"/>
      <c r="AT64" s="264"/>
      <c r="AU64" s="264"/>
      <c r="AV64" s="264"/>
      <c r="AW64" s="66"/>
      <c r="AX64" s="264"/>
      <c r="AY64" s="264"/>
      <c r="AZ64" s="66"/>
      <c r="BA64" s="264"/>
      <c r="BB64" s="66"/>
      <c r="BC64" s="264"/>
      <c r="BD64" s="264"/>
      <c r="BE64" s="264"/>
      <c r="BF64" s="66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66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66"/>
      <c r="O66" s="264"/>
      <c r="P66" s="264"/>
      <c r="Q66" s="264"/>
      <c r="R66" s="264"/>
      <c r="S66" s="264"/>
      <c r="T66" s="264"/>
      <c r="U66" s="264"/>
      <c r="V66" s="264"/>
      <c r="W66" s="66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66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66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66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66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66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66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66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66"/>
      <c r="DC69" s="264"/>
      <c r="DD69" s="264"/>
      <c r="DE69" s="264"/>
      <c r="DF69" s="264"/>
      <c r="DG69" s="264"/>
      <c r="DH69" s="264"/>
      <c r="DI69" s="264"/>
      <c r="DJ69" s="264"/>
      <c r="DK69" s="264"/>
      <c r="DL69" s="264"/>
      <c r="DM69" s="264"/>
      <c r="DN69" s="264"/>
      <c r="DO69" s="264"/>
      <c r="DP69" s="264"/>
      <c r="DQ69" s="66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/>
      <c r="D70" s="264"/>
      <c r="E70" s="264"/>
      <c r="F70" s="264"/>
      <c r="G70" s="264"/>
      <c r="H70" s="264"/>
      <c r="I70" s="264"/>
      <c r="J70" s="66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  <c r="AM70" s="264"/>
      <c r="AN70" s="264"/>
      <c r="AO70" s="264"/>
      <c r="AP70" s="264"/>
      <c r="AQ70" s="264"/>
      <c r="AR70" s="264"/>
      <c r="AS70" s="264"/>
      <c r="AT70" s="264"/>
      <c r="AU70" s="66"/>
      <c r="AV70" s="264"/>
      <c r="AW70" s="264"/>
      <c r="AX70" s="264"/>
      <c r="AY70" s="264"/>
      <c r="AZ70" s="66"/>
      <c r="BA70" s="264"/>
      <c r="BB70" s="66"/>
      <c r="BC70" s="264"/>
      <c r="BD70" s="264"/>
      <c r="BE70" s="264"/>
      <c r="BF70" s="66"/>
      <c r="BG70" s="264"/>
      <c r="BH70" s="264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264"/>
      <c r="CU70" s="264"/>
      <c r="CV70" s="264"/>
      <c r="CW70" s="264"/>
      <c r="CX70" s="66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66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264"/>
      <c r="BB72" s="264"/>
      <c r="BC72" s="264"/>
      <c r="BD72" s="264"/>
      <c r="BE72" s="264"/>
      <c r="BF72" s="66"/>
      <c r="BG72" s="264"/>
      <c r="BH72" s="264"/>
      <c r="BI72" s="264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66"/>
      <c r="G73" s="264"/>
      <c r="H73" s="264"/>
      <c r="I73" s="264"/>
      <c r="J73" s="66"/>
      <c r="K73" s="264"/>
      <c r="L73" s="264"/>
      <c r="M73" s="264"/>
      <c r="N73" s="264"/>
      <c r="O73" s="264"/>
      <c r="P73" s="66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  <c r="AM73" s="264"/>
      <c r="AN73" s="264"/>
      <c r="AO73" s="264"/>
      <c r="AP73" s="264"/>
      <c r="AQ73" s="264"/>
      <c r="AR73" s="264"/>
      <c r="AS73" s="264"/>
      <c r="AT73" s="264"/>
      <c r="AU73" s="66"/>
      <c r="AV73" s="264"/>
      <c r="AW73" s="264"/>
      <c r="AX73" s="264"/>
      <c r="AY73" s="264"/>
      <c r="AZ73" s="264"/>
      <c r="BA73" s="264"/>
      <c r="BB73" s="264"/>
      <c r="BC73" s="264"/>
      <c r="BD73" s="264"/>
      <c r="BE73" s="264"/>
      <c r="BF73" s="66"/>
      <c r="BG73" s="264"/>
      <c r="BH73" s="66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66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264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66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264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264"/>
      <c r="E76" s="264"/>
      <c r="F76" s="264"/>
      <c r="G76" s="264"/>
      <c r="H76" s="264"/>
      <c r="I76" s="264"/>
      <c r="J76" s="66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66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66"/>
      <c r="BC76" s="264"/>
      <c r="BD76" s="264"/>
      <c r="BE76" s="264"/>
      <c r="BF76" s="66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66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66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/>
      <c r="D79" s="264"/>
      <c r="E79" s="264"/>
      <c r="F79" s="66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66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66"/>
      <c r="AV79" s="264"/>
      <c r="AW79" s="264"/>
      <c r="AX79" s="264"/>
      <c r="AY79" s="264"/>
      <c r="AZ79" s="66"/>
      <c r="BA79" s="264"/>
      <c r="BB79" s="66"/>
      <c r="BC79" s="264"/>
      <c r="BD79" s="264"/>
      <c r="BE79" s="66"/>
      <c r="BF79" s="264"/>
      <c r="BG79" s="264"/>
      <c r="BH79" s="264"/>
      <c r="BI79" s="264"/>
      <c r="BJ79" s="264"/>
      <c r="BK79" s="264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264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264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/>
      <c r="D82" s="264"/>
      <c r="E82" s="264"/>
      <c r="F82" s="264"/>
      <c r="G82" s="264"/>
      <c r="H82" s="66"/>
      <c r="I82" s="264"/>
      <c r="J82" s="66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264"/>
      <c r="AB82" s="264"/>
      <c r="AC82" s="264"/>
      <c r="AD82" s="264"/>
      <c r="AE82" s="264"/>
      <c r="AF82" s="264"/>
      <c r="AG82" s="66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66"/>
      <c r="AV82" s="264"/>
      <c r="AW82" s="264"/>
      <c r="AX82" s="264"/>
      <c r="AY82" s="264"/>
      <c r="AZ82" s="264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264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66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66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66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4" t="s">
        <v>1171</v>
      </c>
      <c r="C85" s="264"/>
      <c r="D85" s="66"/>
      <c r="E85" s="264"/>
      <c r="F85" s="264"/>
      <c r="G85" s="264"/>
      <c r="H85" s="264"/>
      <c r="I85" s="264"/>
      <c r="J85" s="66"/>
      <c r="K85" s="264"/>
      <c r="L85" s="66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66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264"/>
      <c r="BA85" s="264"/>
      <c r="BB85" s="66"/>
      <c r="BC85" s="264"/>
      <c r="BD85" s="264"/>
      <c r="BE85" s="264"/>
      <c r="BF85" s="66"/>
      <c r="BG85" s="264"/>
      <c r="BH85" s="264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66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264"/>
      <c r="BA87" s="264"/>
      <c r="BB87" s="264"/>
      <c r="BC87" s="264"/>
      <c r="BD87" s="264"/>
      <c r="BE87" s="264"/>
      <c r="BF87" s="264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66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/>
      <c r="D88" s="264"/>
      <c r="E88" s="264"/>
      <c r="F88" s="66"/>
      <c r="G88" s="264"/>
      <c r="H88" s="66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66"/>
      <c r="AB88" s="264"/>
      <c r="AC88" s="264"/>
      <c r="AD88" s="264"/>
      <c r="AE88" s="264"/>
      <c r="AF88" s="264"/>
      <c r="AG88" s="264"/>
      <c r="AH88" s="264"/>
      <c r="AI88" s="66"/>
      <c r="AJ88" s="264"/>
      <c r="AK88" s="264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264"/>
      <c r="AX88" s="264"/>
      <c r="AY88" s="264"/>
      <c r="AZ88" s="66"/>
      <c r="BA88" s="264"/>
      <c r="BB88" s="264"/>
      <c r="BC88" s="264"/>
      <c r="BD88" s="264"/>
      <c r="BE88" s="66"/>
      <c r="BF88" s="264"/>
      <c r="BG88" s="264"/>
      <c r="BH88" s="66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264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66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264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66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264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264"/>
      <c r="S91" s="264"/>
      <c r="T91" s="264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66"/>
      <c r="AF91" s="264"/>
      <c r="AG91" s="264"/>
      <c r="AH91" s="264"/>
      <c r="AI91" s="66"/>
      <c r="AJ91" s="264"/>
      <c r="AK91" s="264"/>
      <c r="AL91" s="264"/>
      <c r="AM91" s="264"/>
      <c r="AN91" s="264"/>
      <c r="AO91" s="264"/>
      <c r="AP91" s="264"/>
      <c r="AQ91" s="264"/>
      <c r="AR91" s="264"/>
      <c r="AS91" s="264"/>
      <c r="AT91" s="264"/>
      <c r="AU91" s="264"/>
      <c r="AV91" s="264"/>
      <c r="AW91" s="264"/>
      <c r="AX91" s="264"/>
      <c r="AY91" s="264"/>
      <c r="AZ91" s="66"/>
      <c r="BA91" s="264"/>
      <c r="BB91" s="264"/>
      <c r="BC91" s="264"/>
      <c r="BD91" s="264"/>
      <c r="BE91" s="264"/>
      <c r="BF91" s="66"/>
      <c r="BG91" s="264"/>
      <c r="BH91" s="264"/>
      <c r="BI91" s="264"/>
      <c r="BJ91" s="264"/>
      <c r="BK91" s="264"/>
      <c r="BL91" s="264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66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/>
      <c r="D94" s="66"/>
      <c r="E94" s="264"/>
      <c r="F94" s="264"/>
      <c r="G94" s="264"/>
      <c r="H94" s="66"/>
      <c r="I94" s="264"/>
      <c r="J94" s="264"/>
      <c r="K94" s="264"/>
      <c r="L94" s="66"/>
      <c r="M94" s="264"/>
      <c r="N94" s="66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264"/>
      <c r="AB94" s="264"/>
      <c r="AC94" s="66"/>
      <c r="AD94" s="264"/>
      <c r="AE94" s="66"/>
      <c r="AF94" s="264"/>
      <c r="AG94" s="264"/>
      <c r="AH94" s="264"/>
      <c r="AI94" s="66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66"/>
      <c r="BG94" s="264"/>
      <c r="BH94" s="264"/>
      <c r="BI94" s="264"/>
      <c r="BJ94" s="264"/>
      <c r="BK94" s="264"/>
      <c r="BL94" s="264"/>
      <c r="BM94" s="264"/>
      <c r="BN94" s="66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66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264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264"/>
      <c r="G97" s="264"/>
      <c r="H97" s="264"/>
      <c r="I97" s="264"/>
      <c r="J97" s="66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66"/>
      <c r="V97" s="264"/>
      <c r="W97" s="66"/>
      <c r="X97" s="264"/>
      <c r="Y97" s="264"/>
      <c r="Z97" s="264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  <c r="AM97" s="264"/>
      <c r="AN97" s="264"/>
      <c r="AO97" s="264"/>
      <c r="AP97" s="66"/>
      <c r="AQ97" s="264"/>
      <c r="AR97" s="264"/>
      <c r="AS97" s="264"/>
      <c r="AT97" s="264"/>
      <c r="AU97" s="66"/>
      <c r="AV97" s="264"/>
      <c r="AW97" s="264"/>
      <c r="AX97" s="264"/>
      <c r="AY97" s="264"/>
      <c r="AZ97" s="264"/>
      <c r="BA97" s="264"/>
      <c r="BB97" s="264"/>
      <c r="BC97" s="264"/>
      <c r="BD97" s="264"/>
      <c r="BE97" s="264"/>
      <c r="BF97" s="264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66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66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264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264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66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66"/>
      <c r="S100" s="264"/>
      <c r="T100" s="264"/>
      <c r="U100" s="264"/>
      <c r="V100" s="264"/>
      <c r="W100" s="264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66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264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264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264"/>
      <c r="DN100" s="264"/>
      <c r="DO100" s="264"/>
      <c r="DP100" s="264"/>
      <c r="DQ100" s="264"/>
      <c r="DR100" s="264"/>
      <c r="DS100" s="264"/>
      <c r="DT100" s="264"/>
      <c r="DU100" s="264"/>
      <c r="DV100" s="264"/>
      <c r="DW100" s="66"/>
      <c r="DX100" s="264"/>
      <c r="DY100" s="66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264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4" t="s">
        <v>1189</v>
      </c>
      <c r="C103" s="264"/>
      <c r="D103" s="264"/>
      <c r="E103" s="264"/>
      <c r="F103" s="66"/>
      <c r="G103" s="264"/>
      <c r="H103" s="264"/>
      <c r="I103" s="264"/>
      <c r="J103" s="66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66"/>
      <c r="AS103" s="264"/>
      <c r="AT103" s="264"/>
      <c r="AU103" s="66"/>
      <c r="AV103" s="264"/>
      <c r="AW103" s="264"/>
      <c r="AX103" s="264"/>
      <c r="AY103" s="264"/>
      <c r="AZ103" s="66"/>
      <c r="BA103" s="264"/>
      <c r="BB103" s="66"/>
      <c r="BC103" s="264"/>
      <c r="BD103" s="264"/>
      <c r="BE103" s="264"/>
      <c r="BF103" s="264"/>
      <c r="BG103" s="264"/>
      <c r="BH103" s="66"/>
      <c r="BI103" s="264"/>
      <c r="BJ103" s="264"/>
      <c r="BK103" s="66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66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66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66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264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4" t="s">
        <v>1190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264"/>
      <c r="AQ106" s="264"/>
      <c r="AR106" s="66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264"/>
      <c r="BC106" s="264"/>
      <c r="BD106" s="264"/>
      <c r="BE106" s="264"/>
      <c r="BF106" s="264"/>
      <c r="BG106" s="264"/>
      <c r="BH106" s="66"/>
      <c r="BI106" s="264"/>
      <c r="BJ106" s="264"/>
      <c r="BK106" s="264"/>
      <c r="BL106" s="264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264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264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66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264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66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4" t="s">
        <v>1192</v>
      </c>
      <c r="C109" s="264"/>
      <c r="D109" s="264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66"/>
      <c r="Z109" s="264"/>
      <c r="AA109" s="66"/>
      <c r="AB109" s="264"/>
      <c r="AC109" s="264"/>
      <c r="AD109" s="264"/>
      <c r="AE109" s="264"/>
      <c r="AF109" s="264"/>
      <c r="AG109" s="66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66"/>
      <c r="BC109" s="264"/>
      <c r="BD109" s="264"/>
      <c r="BE109" s="66"/>
      <c r="BF109" s="264"/>
      <c r="BG109" s="264"/>
      <c r="BH109" s="66"/>
      <c r="BI109" s="264"/>
      <c r="BJ109" s="264"/>
      <c r="BK109" s="264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264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>
      <c r="A110" s="254"/>
      <c r="B110" s="264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66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66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/>
      <c r="D112" s="264"/>
      <c r="E112" s="264"/>
      <c r="F112" s="264"/>
      <c r="G112" s="264"/>
      <c r="H112" s="264"/>
      <c r="I112" s="264"/>
      <c r="J112" s="264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264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66"/>
      <c r="AV112" s="264"/>
      <c r="AW112" s="264"/>
      <c r="AX112" s="264"/>
      <c r="AY112" s="264"/>
      <c r="AZ112" s="66"/>
      <c r="BA112" s="264"/>
      <c r="BB112" s="264"/>
      <c r="BC112" s="264"/>
      <c r="BD112" s="264"/>
      <c r="BE112" s="264"/>
      <c r="BF112" s="66"/>
      <c r="BG112" s="264"/>
      <c r="BH112" s="264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264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264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264"/>
      <c r="E115" s="264"/>
      <c r="F115" s="264"/>
      <c r="G115" s="264"/>
      <c r="H115" s="264"/>
      <c r="I115" s="264"/>
      <c r="J115" s="66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66"/>
      <c r="X115" s="264"/>
      <c r="Y115" s="264"/>
      <c r="Z115" s="264"/>
      <c r="AA115" s="66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66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264"/>
      <c r="AZ115" s="66"/>
      <c r="BA115" s="264"/>
      <c r="BB115" s="264"/>
      <c r="BC115" s="264"/>
      <c r="BD115" s="264"/>
      <c r="BE115" s="66"/>
      <c r="BF115" s="264"/>
      <c r="BG115" s="264"/>
      <c r="BH115" s="264"/>
      <c r="BI115" s="264"/>
      <c r="BJ115" s="264"/>
      <c r="BK115" s="264"/>
      <c r="BL115" s="264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264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66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4" t="s">
        <v>465</v>
      </c>
      <c r="C118" s="264"/>
      <c r="D118" s="264"/>
      <c r="E118" s="264"/>
      <c r="F118" s="264"/>
      <c r="G118" s="264"/>
      <c r="H118" s="264"/>
      <c r="I118" s="264"/>
      <c r="J118" s="66"/>
      <c r="K118" s="264"/>
      <c r="L118" s="264"/>
      <c r="M118" s="264"/>
      <c r="N118" s="264"/>
      <c r="O118" s="264"/>
      <c r="P118" s="264"/>
      <c r="Q118" s="264"/>
      <c r="R118" s="66"/>
      <c r="S118" s="264"/>
      <c r="T118" s="264"/>
      <c r="U118" s="264"/>
      <c r="V118" s="264"/>
      <c r="W118" s="66"/>
      <c r="X118" s="264"/>
      <c r="Y118" s="264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66"/>
      <c r="AL118" s="264"/>
      <c r="AM118" s="264"/>
      <c r="AN118" s="264"/>
      <c r="AO118" s="264"/>
      <c r="AP118" s="264"/>
      <c r="AQ118" s="264"/>
      <c r="AR118" s="264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66"/>
      <c r="BF118" s="264"/>
      <c r="BG118" s="264"/>
      <c r="BH118" s="66"/>
      <c r="BI118" s="264"/>
      <c r="BJ118" s="264"/>
      <c r="BK118" s="264"/>
      <c r="BL118" s="264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66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/>
      <c r="D121" s="264"/>
      <c r="E121" s="264"/>
      <c r="F121" s="264"/>
      <c r="G121" s="264"/>
      <c r="H121" s="264"/>
      <c r="I121" s="264"/>
      <c r="J121" s="264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/>
      <c r="D124" s="264"/>
      <c r="E124" s="264"/>
      <c r="F124" s="66"/>
      <c r="G124" s="264"/>
      <c r="H124" s="264"/>
      <c r="I124" s="264"/>
      <c r="J124" s="66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66"/>
      <c r="AB124" s="264"/>
      <c r="AC124" s="264"/>
      <c r="AD124" s="264"/>
      <c r="AE124" s="264"/>
      <c r="AF124" s="264"/>
      <c r="AG124" s="66"/>
      <c r="AH124" s="264"/>
      <c r="AI124" s="264"/>
      <c r="AJ124" s="264"/>
      <c r="AK124" s="264"/>
      <c r="AL124" s="264"/>
      <c r="AM124" s="264"/>
      <c r="AN124" s="264"/>
      <c r="AO124" s="264"/>
      <c r="AP124" s="264"/>
      <c r="AQ124" s="264"/>
      <c r="AR124" s="264"/>
      <c r="AS124" s="264"/>
      <c r="AT124" s="264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66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264"/>
      <c r="AQ127" s="264"/>
      <c r="AR127" s="264"/>
      <c r="AS127" s="264"/>
      <c r="AT127" s="264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264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264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66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66"/>
      <c r="O132" s="264"/>
      <c r="P132" s="264"/>
      <c r="Q132" s="264"/>
      <c r="R132" s="264"/>
      <c r="S132" s="264"/>
      <c r="T132" s="264"/>
      <c r="U132" s="264"/>
      <c r="V132" s="264"/>
      <c r="W132" s="66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66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66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4" t="s">
        <v>405</v>
      </c>
      <c r="C133" s="264"/>
      <c r="D133" s="264"/>
      <c r="E133" s="264"/>
      <c r="F133" s="66"/>
      <c r="G133" s="264"/>
      <c r="H133" s="264"/>
      <c r="I133" s="264"/>
      <c r="J133" s="264"/>
      <c r="K133" s="264"/>
      <c r="L133" s="264"/>
      <c r="M133" s="264"/>
      <c r="N133" s="264"/>
      <c r="O133" s="264"/>
      <c r="P133" s="66"/>
      <c r="Q133" s="264"/>
      <c r="R133" s="66"/>
      <c r="S133" s="264"/>
      <c r="T133" s="264"/>
      <c r="U133" s="264"/>
      <c r="V133" s="264"/>
      <c r="W133" s="264"/>
      <c r="X133" s="264"/>
      <c r="Y133" s="66"/>
      <c r="Z133" s="264"/>
      <c r="AA133" s="264"/>
      <c r="AB133" s="264"/>
      <c r="AC133" s="264"/>
      <c r="AD133" s="264"/>
      <c r="AE133" s="264"/>
      <c r="AF133" s="264"/>
      <c r="AG133" s="66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66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264"/>
      <c r="BI133" s="264"/>
      <c r="BJ133" s="264"/>
      <c r="BK133" s="264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66"/>
      <c r="O135" s="264"/>
      <c r="P135" s="264"/>
      <c r="Q135" s="264"/>
      <c r="R135" s="264"/>
      <c r="S135" s="264"/>
      <c r="T135" s="264"/>
      <c r="U135" s="264"/>
      <c r="V135" s="264"/>
      <c r="W135" s="66"/>
      <c r="X135" s="264"/>
      <c r="Y135" s="264"/>
      <c r="Z135" s="264"/>
      <c r="AA135" s="264"/>
      <c r="AB135" s="264"/>
      <c r="AC135" s="66"/>
      <c r="AD135" s="264"/>
      <c r="AE135" s="264"/>
      <c r="AF135" s="264"/>
      <c r="AG135" s="264"/>
      <c r="AH135" s="264"/>
      <c r="AI135" s="66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264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4" t="s">
        <v>474</v>
      </c>
      <c r="C136" s="264"/>
      <c r="D136" s="264"/>
      <c r="E136" s="264"/>
      <c r="F136" s="66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4"/>
      <c r="R136" s="66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66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264"/>
      <c r="BA136" s="264"/>
      <c r="BB136" s="264"/>
      <c r="BC136" s="264"/>
      <c r="BD136" s="264"/>
      <c r="BE136" s="264"/>
      <c r="BF136" s="264"/>
      <c r="BG136" s="264"/>
      <c r="BH136" s="264"/>
      <c r="BI136" s="264"/>
      <c r="BJ136" s="264"/>
      <c r="BK136" s="264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264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264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/>
      <c r="D139" s="264"/>
      <c r="E139" s="264"/>
      <c r="F139" s="264"/>
      <c r="G139" s="264"/>
      <c r="H139" s="66"/>
      <c r="I139" s="264"/>
      <c r="J139" s="264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66"/>
      <c r="AF139" s="264"/>
      <c r="AG139" s="66"/>
      <c r="AH139" s="264"/>
      <c r="AI139" s="264"/>
      <c r="AJ139" s="264"/>
      <c r="AK139" s="264"/>
      <c r="AL139" s="264"/>
      <c r="AM139" s="264"/>
      <c r="AN139" s="264"/>
      <c r="AO139" s="264"/>
      <c r="AP139" s="66"/>
      <c r="AQ139" s="264"/>
      <c r="AR139" s="264"/>
      <c r="AS139" s="264"/>
      <c r="AT139" s="264"/>
      <c r="AU139" s="66"/>
      <c r="AV139" s="264"/>
      <c r="AW139" s="264"/>
      <c r="AX139" s="264"/>
      <c r="AY139" s="264"/>
      <c r="AZ139" s="264"/>
      <c r="BA139" s="264"/>
      <c r="BB139" s="264"/>
      <c r="BC139" s="264"/>
      <c r="BD139" s="264"/>
      <c r="BE139" s="264"/>
      <c r="BF139" s="264"/>
      <c r="BG139" s="264"/>
      <c r="BH139" s="66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66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264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66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264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66"/>
      <c r="X142" s="264"/>
      <c r="Y142" s="264"/>
      <c r="Z142" s="264"/>
      <c r="AA142" s="66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66"/>
      <c r="AP142" s="66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66"/>
      <c r="BC142" s="264"/>
      <c r="BD142" s="264"/>
      <c r="BE142" s="66"/>
      <c r="BF142" s="264"/>
      <c r="BG142" s="264"/>
      <c r="BH142" s="264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264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264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4" t="s">
        <v>477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66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264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66"/>
      <c r="Q148" s="264"/>
      <c r="R148" s="264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66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264"/>
      <c r="AX148" s="264"/>
      <c r="AY148" s="264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66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66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264"/>
      <c r="DJ150" s="264"/>
      <c r="DK150" s="264"/>
      <c r="DL150" s="264"/>
      <c r="DM150" s="66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4" t="s">
        <v>408</v>
      </c>
      <c r="C151" s="264"/>
      <c r="D151" s="264"/>
      <c r="E151" s="264"/>
      <c r="F151" s="66"/>
      <c r="G151" s="264"/>
      <c r="H151" s="264"/>
      <c r="I151" s="264"/>
      <c r="J151" s="66"/>
      <c r="K151" s="264"/>
      <c r="L151" s="264"/>
      <c r="M151" s="264"/>
      <c r="N151" s="264"/>
      <c r="O151" s="264"/>
      <c r="P151" s="264"/>
      <c r="Q151" s="264"/>
      <c r="R151" s="66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66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264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66"/>
      <c r="DT151" s="264"/>
      <c r="DU151" s="66"/>
      <c r="DV151" s="264"/>
      <c r="DW151" s="264"/>
      <c r="DX151" s="264"/>
      <c r="DY151" s="264"/>
      <c r="DZ151" s="264"/>
      <c r="EA151" s="66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264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66"/>
      <c r="E154" s="264"/>
      <c r="F154" s="264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264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64"/>
      <c r="AE154" s="264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66"/>
      <c r="AQ154" s="264"/>
      <c r="AR154" s="264"/>
      <c r="AS154" s="264"/>
      <c r="AT154" s="264"/>
      <c r="AU154" s="66"/>
      <c r="AV154" s="264"/>
      <c r="AW154" s="264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66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264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66"/>
      <c r="DT154" s="264"/>
      <c r="DU154" s="66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66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/>
      <c r="D157" s="66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264"/>
      <c r="Q157" s="264"/>
      <c r="R157" s="66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66"/>
      <c r="AQ157" s="264"/>
      <c r="AR157" s="264"/>
      <c r="AS157" s="264"/>
      <c r="AT157" s="66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66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66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264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/>
      <c r="D160" s="264"/>
      <c r="E160" s="264"/>
      <c r="F160" s="264"/>
      <c r="G160" s="264"/>
      <c r="H160" s="264"/>
      <c r="I160" s="264"/>
      <c r="J160" s="66"/>
      <c r="K160" s="264"/>
      <c r="L160" s="66"/>
      <c r="M160" s="264"/>
      <c r="N160" s="264"/>
      <c r="O160" s="264"/>
      <c r="P160" s="264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  <c r="AA160" s="264"/>
      <c r="AB160" s="264"/>
      <c r="AC160" s="264"/>
      <c r="AD160" s="264"/>
      <c r="AE160" s="264"/>
      <c r="AF160" s="264"/>
      <c r="AG160" s="66"/>
      <c r="AH160" s="264"/>
      <c r="AI160" s="264"/>
      <c r="AJ160" s="264"/>
      <c r="AK160" s="264"/>
      <c r="AL160" s="264"/>
      <c r="AM160" s="264"/>
      <c r="AN160" s="264"/>
      <c r="AO160" s="66"/>
      <c r="AP160" s="66"/>
      <c r="AQ160" s="264"/>
      <c r="AR160" s="264"/>
      <c r="AS160" s="264"/>
      <c r="AT160" s="66"/>
      <c r="AU160" s="66"/>
      <c r="AV160" s="264"/>
      <c r="AW160" s="264"/>
      <c r="AX160" s="264"/>
      <c r="AY160" s="264"/>
      <c r="AZ160" s="66"/>
      <c r="BA160" s="264"/>
      <c r="BB160" s="264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264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66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264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/>
      <c r="D163" s="264"/>
      <c r="E163" s="264"/>
      <c r="F163" s="264"/>
      <c r="G163" s="264"/>
      <c r="H163" s="66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66"/>
      <c r="AH163" s="264"/>
      <c r="AI163" s="264"/>
      <c r="AJ163" s="264"/>
      <c r="AK163" s="264"/>
      <c r="AL163" s="264"/>
      <c r="AM163" s="264"/>
      <c r="AN163" s="264"/>
      <c r="AO163" s="264"/>
      <c r="AP163" s="264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264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66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264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264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264"/>
      <c r="BC166" s="264"/>
      <c r="BD166" s="264"/>
      <c r="BE166" s="264"/>
      <c r="BF166" s="66"/>
      <c r="BG166" s="264"/>
      <c r="BH166" s="264"/>
      <c r="BI166" s="264"/>
      <c r="BJ166" s="264"/>
      <c r="BK166" s="264"/>
      <c r="BL166" s="264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66"/>
      <c r="Z169" s="264"/>
      <c r="AA169" s="264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64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264"/>
      <c r="Q172" s="264"/>
      <c r="R172" s="264"/>
      <c r="S172" s="264"/>
      <c r="T172" s="264"/>
      <c r="U172" s="264"/>
      <c r="V172" s="264"/>
      <c r="W172" s="66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264"/>
      <c r="AS172" s="264"/>
      <c r="AT172" s="264"/>
      <c r="AU172" s="66"/>
      <c r="AV172" s="264"/>
      <c r="AW172" s="66"/>
      <c r="AX172" s="264"/>
      <c r="AY172" s="264"/>
      <c r="AZ172" s="264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66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66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264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66"/>
      <c r="AQ175" s="264"/>
      <c r="AR175" s="264"/>
      <c r="AS175" s="264"/>
      <c r="AT175" s="264"/>
      <c r="AU175" s="66"/>
      <c r="AV175" s="264"/>
      <c r="AW175" s="264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264"/>
      <c r="DT175" s="264"/>
      <c r="DU175" s="264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264"/>
      <c r="AQ177" s="264"/>
      <c r="AR177" s="264"/>
      <c r="AS177" s="264"/>
      <c r="AT177" s="264"/>
      <c r="AU177" s="264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66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264"/>
      <c r="AU178" s="66"/>
      <c r="AV178" s="264"/>
      <c r="AW178" s="264"/>
      <c r="AX178" s="264"/>
      <c r="AY178" s="264"/>
      <c r="AZ178" s="264"/>
      <c r="BA178" s="264"/>
      <c r="BB178" s="264"/>
      <c r="BC178" s="264"/>
      <c r="BD178" s="264"/>
      <c r="BE178" s="264"/>
      <c r="BF178" s="264"/>
      <c r="BG178" s="264"/>
      <c r="BH178" s="66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66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4" t="s">
        <v>413</v>
      </c>
      <c r="C181" s="264"/>
      <c r="D181" s="264"/>
      <c r="E181" s="264"/>
      <c r="F181" s="264"/>
      <c r="G181" s="264"/>
      <c r="H181" s="66"/>
      <c r="I181" s="264"/>
      <c r="J181" s="66"/>
      <c r="K181" s="264"/>
      <c r="L181" s="264"/>
      <c r="M181" s="264"/>
      <c r="N181" s="264"/>
      <c r="O181" s="264"/>
      <c r="P181" s="66"/>
      <c r="Q181" s="264"/>
      <c r="R181" s="66"/>
      <c r="S181" s="264"/>
      <c r="T181" s="66"/>
      <c r="U181" s="264"/>
      <c r="V181" s="264"/>
      <c r="W181" s="264"/>
      <c r="X181" s="264"/>
      <c r="Y181" s="264"/>
      <c r="Z181" s="264"/>
      <c r="AA181" s="264"/>
      <c r="AB181" s="264"/>
      <c r="AC181" s="264"/>
      <c r="AD181" s="264"/>
      <c r="AE181" s="264"/>
      <c r="AF181" s="264"/>
      <c r="AG181" s="66"/>
      <c r="AH181" s="264"/>
      <c r="AI181" s="264"/>
      <c r="AJ181" s="264"/>
      <c r="AK181" s="66"/>
      <c r="AL181" s="264"/>
      <c r="AM181" s="264"/>
      <c r="AN181" s="264"/>
      <c r="AO181" s="66"/>
      <c r="AP181" s="66"/>
      <c r="AQ181" s="264"/>
      <c r="AR181" s="264"/>
      <c r="AS181" s="264"/>
      <c r="AT181" s="66"/>
      <c r="AU181" s="66"/>
      <c r="AV181" s="264"/>
      <c r="AW181" s="264"/>
      <c r="AX181" s="264"/>
      <c r="AY181" s="264"/>
      <c r="AZ181" s="66"/>
      <c r="BA181" s="264"/>
      <c r="BB181" s="264"/>
      <c r="BC181" s="264"/>
      <c r="BD181" s="264"/>
      <c r="BE181" s="66"/>
      <c r="BF181" s="264"/>
      <c r="BG181" s="264"/>
      <c r="BH181" s="66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66"/>
      <c r="AV183" s="264"/>
      <c r="AW183" s="264"/>
      <c r="AX183" s="264"/>
      <c r="AY183" s="264"/>
      <c r="AZ183" s="264"/>
      <c r="BA183" s="264"/>
      <c r="BB183" s="264"/>
      <c r="BC183" s="264"/>
      <c r="BD183" s="264"/>
      <c r="BE183" s="264"/>
      <c r="BF183" s="264"/>
      <c r="BG183" s="264"/>
      <c r="BH183" s="264"/>
      <c r="BI183" s="264"/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264"/>
      <c r="I184" s="264"/>
      <c r="J184" s="264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264"/>
      <c r="BD184" s="264"/>
      <c r="BE184" s="264"/>
      <c r="BF184" s="264"/>
      <c r="BG184" s="264"/>
      <c r="BH184" s="264"/>
      <c r="BI184" s="264"/>
      <c r="BJ184" s="264"/>
      <c r="BK184" s="264"/>
      <c r="BL184" s="264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66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66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/>
      <c r="D187" s="66"/>
      <c r="E187" s="264"/>
      <c r="F187" s="264"/>
      <c r="G187" s="264"/>
      <c r="H187" s="66"/>
      <c r="I187" s="264"/>
      <c r="J187" s="264"/>
      <c r="K187" s="264"/>
      <c r="L187" s="66"/>
      <c r="M187" s="264"/>
      <c r="N187" s="264"/>
      <c r="O187" s="264"/>
      <c r="P187" s="264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  <c r="AM187" s="264"/>
      <c r="AN187" s="264"/>
      <c r="AO187" s="66"/>
      <c r="AP187" s="264"/>
      <c r="AQ187" s="264"/>
      <c r="AR187" s="264"/>
      <c r="AS187" s="264"/>
      <c r="AT187" s="66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66"/>
      <c r="AQ189" s="264"/>
      <c r="AR189" s="264"/>
      <c r="AS189" s="264"/>
      <c r="AT189" s="264"/>
      <c r="AU189" s="66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66"/>
      <c r="X190" s="264"/>
      <c r="Y190" s="264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66"/>
      <c r="AQ190" s="264"/>
      <c r="AR190" s="264"/>
      <c r="AS190" s="264"/>
      <c r="AT190" s="264"/>
      <c r="AU190" s="66"/>
      <c r="AV190" s="264"/>
      <c r="AW190" s="264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264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66"/>
      <c r="G193" s="264"/>
      <c r="H193" s="264"/>
      <c r="I193" s="264"/>
      <c r="J193" s="66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66"/>
      <c r="AB193" s="264"/>
      <c r="AC193" s="264"/>
      <c r="AD193" s="264"/>
      <c r="AE193" s="66"/>
      <c r="AF193" s="264"/>
      <c r="AG193" s="66"/>
      <c r="AH193" s="264"/>
      <c r="AI193" s="264"/>
      <c r="AJ193" s="264"/>
      <c r="AK193" s="264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264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264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264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4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264"/>
      <c r="U196" s="264"/>
      <c r="V196" s="264"/>
      <c r="W196" s="264"/>
      <c r="X196" s="264"/>
      <c r="Y196" s="66"/>
      <c r="Z196" s="264"/>
      <c r="AA196" s="66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264"/>
      <c r="AS196" s="264"/>
      <c r="AT196" s="264"/>
      <c r="AU196" s="66"/>
      <c r="AV196" s="264"/>
      <c r="AW196" s="66"/>
      <c r="AX196" s="264"/>
      <c r="AY196" s="264"/>
      <c r="AZ196" s="264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264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264"/>
      <c r="DX196" s="264"/>
      <c r="DY196" s="264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264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4" t="s">
        <v>416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264"/>
      <c r="AU199" s="264"/>
      <c r="AV199" s="264"/>
      <c r="AW199" s="264"/>
      <c r="AX199" s="264"/>
      <c r="AY199" s="264"/>
      <c r="AZ199" s="264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264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264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4" t="s">
        <v>490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66"/>
      <c r="AH202" s="264"/>
      <c r="AI202" s="264"/>
      <c r="AJ202" s="264"/>
      <c r="AK202" s="264"/>
      <c r="AL202" s="264"/>
      <c r="AM202" s="264"/>
      <c r="AN202" s="264"/>
      <c r="AO202" s="264"/>
      <c r="AP202" s="66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66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264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66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264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264"/>
      <c r="AP205" s="66"/>
      <c r="AQ205" s="264"/>
      <c r="AR205" s="264"/>
      <c r="AS205" s="264"/>
      <c r="AT205" s="264"/>
      <c r="AU205" s="66"/>
      <c r="AV205" s="264"/>
      <c r="AW205" s="264"/>
      <c r="AX205" s="264"/>
      <c r="AY205" s="264"/>
      <c r="AZ205" s="66"/>
      <c r="BA205" s="264"/>
      <c r="BB205" s="264"/>
      <c r="BC205" s="264"/>
      <c r="BD205" s="264"/>
      <c r="BE205" s="264"/>
      <c r="BF205" s="66"/>
      <c r="BG205" s="264"/>
      <c r="BH205" s="264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4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66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66"/>
      <c r="AH208" s="264"/>
      <c r="AI208" s="264"/>
      <c r="AJ208" s="264"/>
      <c r="AK208" s="66"/>
      <c r="AL208" s="264"/>
      <c r="AM208" s="264"/>
      <c r="AN208" s="264"/>
      <c r="AO208" s="264"/>
      <c r="AP208" s="264"/>
      <c r="AQ208" s="264"/>
      <c r="AR208" s="264"/>
      <c r="AS208" s="264"/>
      <c r="AT208" s="264"/>
      <c r="AU208" s="264"/>
      <c r="AV208" s="264"/>
      <c r="AW208" s="264"/>
      <c r="AX208" s="264"/>
      <c r="AY208" s="264"/>
      <c r="AZ208" s="264"/>
      <c r="BA208" s="264"/>
      <c r="BB208" s="264"/>
      <c r="BC208" s="264"/>
      <c r="BD208" s="264"/>
      <c r="BE208" s="264"/>
      <c r="BF208" s="264"/>
      <c r="BG208" s="264"/>
      <c r="BH208" s="66"/>
      <c r="BI208" s="264"/>
      <c r="BJ208" s="264"/>
      <c r="BK208" s="264"/>
      <c r="BL208" s="264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264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66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66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264"/>
      <c r="BA211" s="264"/>
      <c r="BB211" s="66"/>
      <c r="BC211" s="264"/>
      <c r="BD211" s="264"/>
      <c r="BE211" s="264"/>
      <c r="BF211" s="264"/>
      <c r="BG211" s="264"/>
      <c r="BH211" s="66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264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/>
      <c r="D214" s="264"/>
      <c r="E214" s="264"/>
      <c r="F214" s="264"/>
      <c r="G214" s="264"/>
      <c r="H214" s="264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264"/>
      <c r="AP214" s="264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264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264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264"/>
      <c r="AQ216" s="264"/>
      <c r="AR216" s="264"/>
      <c r="AS216" s="264"/>
      <c r="AT216" s="264"/>
      <c r="AU216" s="264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66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264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264"/>
      <c r="E220" s="264"/>
      <c r="F220" s="264"/>
      <c r="G220" s="264"/>
      <c r="H220" s="264"/>
      <c r="I220" s="264"/>
      <c r="J220" s="264"/>
      <c r="K220" s="264"/>
      <c r="L220" s="264"/>
      <c r="M220" s="264"/>
      <c r="N220" s="264"/>
      <c r="O220" s="264"/>
      <c r="P220" s="264"/>
      <c r="Q220" s="264"/>
      <c r="R220" s="264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264"/>
      <c r="AF220" s="264"/>
      <c r="AG220" s="66"/>
      <c r="AH220" s="264"/>
      <c r="AI220" s="264"/>
      <c r="AJ220" s="264"/>
      <c r="AK220" s="264"/>
      <c r="AL220" s="264"/>
      <c r="AM220" s="264"/>
      <c r="AN220" s="264"/>
      <c r="AO220" s="264"/>
      <c r="AP220" s="264"/>
      <c r="AQ220" s="264"/>
      <c r="AR220" s="264"/>
      <c r="AS220" s="264"/>
      <c r="AT220" s="264"/>
      <c r="AU220" s="66"/>
      <c r="AV220" s="264"/>
      <c r="AW220" s="66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66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/>
      <c r="D223" s="264"/>
      <c r="E223" s="264"/>
      <c r="F223" s="264"/>
      <c r="G223" s="264"/>
      <c r="H223" s="66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  <c r="AA223" s="264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264"/>
      <c r="AL223" s="264"/>
      <c r="AM223" s="264"/>
      <c r="AN223" s="264"/>
      <c r="AO223" s="66"/>
      <c r="AP223" s="66"/>
      <c r="AQ223" s="264"/>
      <c r="AR223" s="264"/>
      <c r="AS223" s="264"/>
      <c r="AT223" s="264"/>
      <c r="AU223" s="66"/>
      <c r="AV223" s="264"/>
      <c r="AW223" s="264"/>
      <c r="AX223" s="264"/>
      <c r="AY223" s="264"/>
      <c r="AZ223" s="66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/>
      <c r="D226" s="264"/>
      <c r="E226" s="264"/>
      <c r="F226" s="264"/>
      <c r="G226" s="264"/>
      <c r="H226" s="264"/>
      <c r="I226" s="264"/>
      <c r="J226" s="66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264"/>
      <c r="X226" s="264"/>
      <c r="Y226" s="264"/>
      <c r="Z226" s="264"/>
      <c r="AA226" s="264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66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264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66"/>
      <c r="BF226" s="264"/>
      <c r="BG226" s="264"/>
      <c r="BH226" s="66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66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/>
      <c r="D229" s="264"/>
      <c r="E229" s="264"/>
      <c r="F229" s="264"/>
      <c r="G229" s="264"/>
      <c r="H229" s="264"/>
      <c r="I229" s="264"/>
      <c r="J229" s="66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264"/>
      <c r="BA229" s="264"/>
      <c r="BB229" s="66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264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/>
      <c r="D232" s="264"/>
      <c r="E232" s="264"/>
      <c r="F232" s="264"/>
      <c r="G232" s="264"/>
      <c r="H232" s="66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  <c r="AA232" s="264"/>
      <c r="AB232" s="264"/>
      <c r="AC232" s="264"/>
      <c r="AD232" s="264"/>
      <c r="AE232" s="66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66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264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66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4" t="s">
        <v>419</v>
      </c>
      <c r="C235" s="264"/>
      <c r="D235" s="264"/>
      <c r="E235" s="264"/>
      <c r="F235" s="66"/>
      <c r="G235" s="264"/>
      <c r="H235" s="264"/>
      <c r="I235" s="264"/>
      <c r="J235" s="66"/>
      <c r="K235" s="264"/>
      <c r="L235" s="264"/>
      <c r="M235" s="264"/>
      <c r="N235" s="264"/>
      <c r="O235" s="264"/>
      <c r="P235" s="264"/>
      <c r="Q235" s="264"/>
      <c r="R235" s="66"/>
      <c r="S235" s="264"/>
      <c r="T235" s="264"/>
      <c r="U235" s="264"/>
      <c r="V235" s="264"/>
      <c r="W235" s="66"/>
      <c r="X235" s="264"/>
      <c r="Y235" s="264"/>
      <c r="Z235" s="264"/>
      <c r="AA235" s="66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66"/>
      <c r="BC235" s="264"/>
      <c r="BD235" s="264"/>
      <c r="BE235" s="264"/>
      <c r="BF235" s="264"/>
      <c r="BG235" s="264"/>
      <c r="BH235" s="66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264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66"/>
      <c r="G238" s="264"/>
      <c r="H238" s="264"/>
      <c r="I238" s="264"/>
      <c r="J238" s="66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66"/>
      <c r="X238" s="264"/>
      <c r="Y238" s="264"/>
      <c r="Z238" s="264"/>
      <c r="AA238" s="66"/>
      <c r="AB238" s="264"/>
      <c r="AC238" s="264"/>
      <c r="AD238" s="264"/>
      <c r="AE238" s="264"/>
      <c r="AF238" s="264"/>
      <c r="AG238" s="264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66"/>
      <c r="BI238" s="264"/>
      <c r="BJ238" s="264"/>
      <c r="BK238" s="264"/>
      <c r="BL238" s="264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66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66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66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264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/>
      <c r="D241" s="66"/>
      <c r="E241" s="264"/>
      <c r="F241" s="264"/>
      <c r="G241" s="264"/>
      <c r="H241" s="264"/>
      <c r="I241" s="264"/>
      <c r="J241" s="66"/>
      <c r="K241" s="264"/>
      <c r="L241" s="264"/>
      <c r="M241" s="264"/>
      <c r="N241" s="264"/>
      <c r="O241" s="264"/>
      <c r="P241" s="66"/>
      <c r="Q241" s="264"/>
      <c r="R241" s="264"/>
      <c r="S241" s="264"/>
      <c r="T241" s="264"/>
      <c r="U241" s="264"/>
      <c r="V241" s="264"/>
      <c r="W241" s="264"/>
      <c r="X241" s="264"/>
      <c r="Y241" s="264"/>
      <c r="Z241" s="264"/>
      <c r="AA241" s="66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66"/>
      <c r="AL241" s="264"/>
      <c r="AM241" s="264"/>
      <c r="AN241" s="264"/>
      <c r="AO241" s="264"/>
      <c r="AP241" s="264"/>
      <c r="AQ241" s="264"/>
      <c r="AR241" s="264"/>
      <c r="AS241" s="264"/>
      <c r="AT241" s="264"/>
      <c r="AU241" s="264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264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66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264"/>
      <c r="AQ243" s="264"/>
      <c r="AR243" s="264"/>
      <c r="AS243" s="264"/>
      <c r="AT243" s="264"/>
      <c r="AU243" s="264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264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/>
      <c r="D244" s="66"/>
      <c r="E244" s="264"/>
      <c r="F244" s="66"/>
      <c r="G244" s="264"/>
      <c r="H244" s="66"/>
      <c r="I244" s="264"/>
      <c r="J244" s="66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  <c r="V244" s="264"/>
      <c r="W244" s="66"/>
      <c r="X244" s="264"/>
      <c r="Y244" s="264"/>
      <c r="Z244" s="264"/>
      <c r="AA244" s="66"/>
      <c r="AB244" s="264"/>
      <c r="AC244" s="264"/>
      <c r="AD244" s="264"/>
      <c r="AE244" s="264"/>
      <c r="AF244" s="264"/>
      <c r="AG244" s="66"/>
      <c r="AH244" s="264"/>
      <c r="AI244" s="264"/>
      <c r="AJ244" s="264"/>
      <c r="AK244" s="264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66"/>
      <c r="AV244" s="264"/>
      <c r="AW244" s="264"/>
      <c r="AX244" s="264"/>
      <c r="AY244" s="264"/>
      <c r="AZ244" s="66"/>
      <c r="BA244" s="264"/>
      <c r="BB244" s="264"/>
      <c r="BC244" s="264"/>
      <c r="BD244" s="264"/>
      <c r="BE244" s="264"/>
      <c r="BF244" s="264"/>
      <c r="BG244" s="264"/>
      <c r="BH244" s="264"/>
      <c r="BI244" s="264"/>
      <c r="BJ244" s="264"/>
      <c r="BK244" s="66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264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264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264"/>
      <c r="Q247" s="264"/>
      <c r="R247" s="264"/>
      <c r="S247" s="264"/>
      <c r="T247" s="264"/>
      <c r="U247" s="264"/>
      <c r="V247" s="264"/>
      <c r="W247" s="264"/>
      <c r="X247" s="264"/>
      <c r="Y247" s="66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264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264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264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264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4" t="s">
        <v>421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66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66"/>
      <c r="AH253" s="264"/>
      <c r="AI253" s="264"/>
      <c r="AJ253" s="264"/>
      <c r="AK253" s="264"/>
      <c r="AL253" s="264"/>
      <c r="AM253" s="264"/>
      <c r="AN253" s="264"/>
      <c r="AO253" s="264"/>
      <c r="AP253" s="66"/>
      <c r="AQ253" s="264"/>
      <c r="AR253" s="264"/>
      <c r="AS253" s="264"/>
      <c r="AT253" s="264"/>
      <c r="AU253" s="264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66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4" t="s">
        <v>424</v>
      </c>
      <c r="C256" s="264"/>
      <c r="D256" s="264"/>
      <c r="E256" s="264"/>
      <c r="F256" s="66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66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66"/>
      <c r="AN256" s="264"/>
      <c r="AO256" s="264"/>
      <c r="AP256" s="264"/>
      <c r="AQ256" s="264"/>
      <c r="AR256" s="264"/>
      <c r="AS256" s="264"/>
      <c r="AT256" s="264"/>
      <c r="AU256" s="264"/>
      <c r="AV256" s="264"/>
      <c r="AW256" s="264"/>
      <c r="AX256" s="264"/>
      <c r="AY256" s="66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66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66"/>
      <c r="DV256" s="264"/>
      <c r="DW256" s="264"/>
      <c r="DX256" s="264"/>
      <c r="DY256" s="66"/>
      <c r="DZ256" s="264"/>
      <c r="EA256" s="66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U258" s="66"/>
      <c r="AZ258" s="66"/>
      <c r="BL258" s="66"/>
      <c r="CT258" s="66"/>
      <c r="DI258" s="66"/>
      <c r="ED258" s="66"/>
    </row>
    <row r="259" spans="1:151">
      <c r="A259" s="160"/>
      <c r="B259" s="160"/>
      <c r="AU259" s="66"/>
      <c r="AZ259" s="66"/>
      <c r="BL259" s="66"/>
      <c r="CT259" s="66"/>
      <c r="DI259" s="66"/>
    </row>
    <row r="260" spans="1:151">
      <c r="A260" s="160"/>
      <c r="B260" s="160"/>
    </row>
    <row r="261" spans="1:151">
      <c r="A261" s="160"/>
      <c r="B261" s="160"/>
      <c r="AP261" s="66"/>
      <c r="AU261" s="66"/>
    </row>
    <row r="262" spans="1:151">
      <c r="A262" s="160"/>
      <c r="B262" s="160"/>
      <c r="AG262" s="66"/>
      <c r="AP262" s="66"/>
      <c r="AU262" s="66"/>
      <c r="AZ262" s="66"/>
      <c r="BL262" s="66"/>
    </row>
    <row r="263" spans="1:151">
      <c r="A263" s="160"/>
      <c r="B263" s="160"/>
    </row>
    <row r="264" spans="1:151">
      <c r="A264" s="160"/>
      <c r="B264" s="160"/>
      <c r="AP264" s="66"/>
      <c r="AU264" s="66"/>
      <c r="AZ264" s="66"/>
      <c r="BL264" s="66"/>
      <c r="ED264" s="66"/>
    </row>
    <row r="265" spans="1:151">
      <c r="A265" s="160"/>
      <c r="B265" s="160"/>
      <c r="D265" s="66"/>
      <c r="F265" s="66"/>
      <c r="H265" s="66"/>
      <c r="J265" s="66"/>
      <c r="T265" s="66"/>
      <c r="W265" s="66"/>
      <c r="AE265" s="66"/>
      <c r="AO265" s="66"/>
      <c r="AP265" s="66"/>
      <c r="AT265" s="66"/>
      <c r="AU265" s="66"/>
      <c r="AY265" s="66"/>
      <c r="AZ265" s="66"/>
      <c r="BB265" s="66"/>
      <c r="BE265" s="66"/>
      <c r="BH265" s="66"/>
      <c r="BK265" s="66"/>
      <c r="BL265" s="66"/>
      <c r="DI265" s="66"/>
    </row>
    <row r="266" spans="1:151">
      <c r="A266" s="160"/>
      <c r="B266" s="160"/>
    </row>
    <row r="267" spans="1:151">
      <c r="A267" s="160"/>
      <c r="B267" s="160"/>
      <c r="AU267" s="66"/>
    </row>
    <row r="268" spans="1:151">
      <c r="A268" s="160"/>
      <c r="B268" s="160"/>
      <c r="H268" s="66"/>
      <c r="L268" s="66"/>
      <c r="P268" s="66"/>
      <c r="T268" s="66"/>
      <c r="AE268" s="66"/>
      <c r="AZ268" s="66"/>
      <c r="BH268" s="66"/>
    </row>
    <row r="269" spans="1:151">
      <c r="A269" s="160"/>
      <c r="B269" s="160"/>
    </row>
    <row r="270" spans="1:151">
      <c r="AU270" s="66"/>
      <c r="AZ270" s="66"/>
      <c r="BL270" s="66"/>
      <c r="ED270" s="66"/>
    </row>
    <row r="271" spans="1:151">
      <c r="F271" s="66"/>
      <c r="H271" s="66"/>
      <c r="J271" s="66"/>
      <c r="P271" s="66"/>
      <c r="T271" s="66"/>
      <c r="Y271" s="66"/>
      <c r="AA271" s="66"/>
      <c r="AE271" s="66"/>
      <c r="AG271" s="66"/>
      <c r="AR271" s="66"/>
      <c r="AU271" s="66"/>
      <c r="AW271" s="66"/>
      <c r="AY271" s="66"/>
      <c r="AZ271" s="66"/>
      <c r="BB271" s="66"/>
      <c r="BH271" s="66"/>
      <c r="BK271" s="66"/>
      <c r="BL271" s="66"/>
      <c r="CT271" s="66"/>
      <c r="DI271" s="66"/>
      <c r="ED271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108</v>
      </c>
      <c r="D1" s="2">
        <v>216</v>
      </c>
      <c r="K1" s="2">
        <v>216</v>
      </c>
    </row>
    <row r="2" spans="1:15">
      <c r="D2" s="2">
        <f>D1+1</f>
        <v>217</v>
      </c>
      <c r="K2" s="2">
        <v>217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INDIRECT("'"&amp;J3&amp;"'!G"&amp;K1&amp;"")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8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INDIRECT("'"&amp;J3&amp;"'!G"&amp;K2&amp;"")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INDIRECT("'"&amp;J3&amp;"'!O"&amp;K1&amp;"")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INDIRECT("'"&amp;J3&amp;"'!o"&amp;K2&amp;"")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INDIRECT("'"&amp;J3&amp;"'!bp"&amp;K1&amp;"")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INDIRECT("'"&amp;J3&amp;"'!bp"&amp;K2&amp;"")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INDIRECT("'"&amp;J3&amp;"'!bx"&amp;K1&amp;"")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INDIRECT("'"&amp;J3&amp;"'!bx"&amp;K2&amp;"")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INDIRECT("'"&amp;J3&amp;"'!cb"&amp;K1&amp;"")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INDIRECT("'"&amp;J3&amp;"'!cb"&amp;K2&amp;"")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INDIRECT("'"&amp;J3&amp;"'!bt"&amp;K1&amp;"")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INDIRECT("'"&amp;J3&amp;"'!bt"&amp;K2&amp;"")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INDIRECT("'"&amp;J3&amp;"'!cu"&amp;K1&amp;"")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INDIRECT("'"&amp;J3&amp;"'!cu"&amp;K2&amp;"")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INDIRECT("'"&amp;J3&amp;"'!cy"&amp;K1&amp;"")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INDIRECT("'"&amp;J3&amp;"'!cy"&amp;K2&amp;"")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INDIRECT("'"&amp;J3&amp;"'!cj"&amp;K1&amp;"")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INDIRECT("'"&amp;J3&amp;"'!cj"&amp;K2&amp;"")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INDIRECT("'"&amp;J3&amp;"'!cf"&amp;K1&amp;"")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INDIRECT("'"&amp;J3&amp;"'!cf"&amp;K2&amp;"")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INDIRECT("'"&amp;J3&amp;"'!cn"&amp;K1&amp;"")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INDIRECT("'"&amp;J3&amp;"'!cn"&amp;K2&amp;"")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INDIRECT("'"&amp;J3&amp;"'!dc"&amp;K1&amp;"")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INDIRECT("'"&amp;J3&amp;"'!dc"&amp;K2&amp;"")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INDIRECT("'"&amp;J3&amp;"'!av"&amp;K1&amp;"")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INDIRECT("'"&amp;J3&amp;"'!av"&amp;K2&amp;"")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INDIRECT("'"&amp;J3&amp;"'!cq"&amp;K1&amp;"")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INDIRECT("'"&amp;J3&amp;"'!cq"&amp;K2&amp;"")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INDIRECT("'"&amp;J3&amp;"'!eo"&amp;K1&amp;"")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INDIRECT("'"&amp;J3&amp;"'!eo"&amp;K2&amp;"")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INDIRECT("'"&amp;J3&amp;"'!dr"&amp;K1&amp;"")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INDIRECT("'"&amp;J3&amp;"'!dr"&amp;K2&amp;"")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INDIRECT("'"&amp;J3&amp;"'!i"&amp;K1&amp;"")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INDIRECT("'"&amp;J3&amp;"'!i"&amp;K2&amp;"")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INDIRECT("'"&amp;J3&amp;"'!ax"&amp;K1&amp;"")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INDIRECT("'"&amp;J3&amp;"'!ax"&amp;K2&amp;"")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INDIRECT("'"&amp;J3&amp;"'!bd"&amp;K1&amp;"")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INDIRECT("'"&amp;J3&amp;"'!bd"&amp;K2&amp;"")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INDIRECT("'"&amp;J3&amp;"'!bg"&amp;K1&amp;"")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INDIRECT("'"&amp;J3&amp;"'!bg"&amp;K2&amp;"")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INDIRECT("'"&amp;J3&amp;"'!bj"&amp;K1&amp;"")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INDIRECT("'"&amp;J3&amp;"'!bj"&amp;K2&amp;"")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INDIRECT("'"&amp;J3&amp;"'!bo"&amp;K1&amp;"")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INDIRECT("'"&amp;J3&amp;"'!bo"&amp;K2&amp;"")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INDIRECT("'"&amp;J3&amp;"'!ba"&amp;K1&amp;"")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INDIRECT("'"&amp;J3&amp;"'!ba"&amp;K2&amp;"")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INDIRECT("'"&amp;J3&amp;"'!an"&amp;K1&amp;"")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INDIRECT("'"&amp;J3&amp;"'!an"&amp;K2&amp;"")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INDIRECT("'"&amp;J3&amp;"'!as"&amp;K1&amp;"")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INDIRECT("'"&amp;J3&amp;"'!as"&amp;K2&amp;"")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INDIRECT("'"&amp;J3&amp;"'!al"&amp;K1&amp;"")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INDIRECT("'"&amp;J3&amp;"'!al"&amp;K2&amp;"")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INDIRECT("'"&amp;J3&amp;"'!q"&amp;K1&amp;"")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INDIRECT("'"&amp;J3&amp;"'!q"&amp;K2&amp;"")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4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INDIRECT("'"&amp;J3&amp;"'!dx"&amp;K1&amp;"")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INDIRECT("'"&amp;J3&amp;"'!dx"&amp;K2&amp;"")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INDIRECT("'"&amp;J3&amp;"'!i"&amp;K1&amp;"")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INDIRECT("'"&amp;J3&amp;"'!k"&amp;K1&amp;"")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0.81818181818181823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INDIRECT("'"&amp;J3&amp;"'!i"&amp;K2&amp;"")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INDIRECT("'"&amp;J3&amp;"'!k"&amp;K2&amp;"")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0.83333333333333337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INDIRECT("'"&amp;J3&amp;"'!q"&amp;K1&amp;"")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INDIRECT("'"&amp;J3&amp;"'!s"&amp;K1&amp;"")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INDIRECT("'"&amp;J3&amp;"'!q"&amp;K2&amp;"")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INDIRECT("'"&amp;J3&amp;"'!s"&amp;K2&amp;"")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INDIRECT("'"&amp;J3&amp;"'!bq"&amp;K1&amp;"")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INDIRECT("'"&amp;J3&amp;"'!br"&amp;K1&amp;"")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INDIRECT("'"&amp;J3&amp;"'!bq"&amp;K2&amp;"")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INDIRECT("'"&amp;J3&amp;"'!br"&amp;K2&amp;"")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INDIRECT("'"&amp;J3&amp;"'!by"&amp;K1&amp;"")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INDIRECT("'"&amp;J3&amp;"'!bz"&amp;K1&amp;"")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INDIRECT("'"&amp;J3&amp;"'!by"&amp;K2&amp;"")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INDIRECT("'"&amp;J3&amp;"'!bz"&amp;K2&amp;"")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INDIRECT("'"&amp;J3&amp;"'!cg"&amp;K1&amp;"")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INDIRECT("'"&amp;J3&amp;"'!ch"&amp;K1&amp;"")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INDIRECT("'"&amp;J3&amp;"'!cg"&amp;K2&amp;"")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INDIRECT("'"&amp;J3&amp;"'!ch"&amp;K2&amp;"")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INDIRECT("'"&amp;J3&amp;"'!ck"&amp;K1&amp;"")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INDIRECT("'"&amp;J3&amp;"'!cl"&amp;K1&amp;"")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INDIRECT("'"&amp;J3&amp;"'!ck"&amp;K2&amp;"")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INDIRECT("'"&amp;J3&amp;"'!cl"&amp;K2&amp;"")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INDIRECT("'"&amp;J3&amp;"'!cv"&amp;K1&amp;"")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INDIRECT("'"&amp;J3&amp;"'!cw"&amp;K1&amp;"")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INDIRECT("'"&amp;J3&amp;"'!cv"&amp;K2&amp;"")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INDIRECT("'"&amp;J3&amp;"'!cw"&amp;K2&amp;"")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INDIRECT("'"&amp;J3&amp;"'!dg"&amp;K1&amp;"")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INDIRECT("'"&amp;J3&amp;"'!dh"&amp;K1&amp;"")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INDIRECT("'"&amp;J3&amp;"'!dg"&amp;K2&amp;"")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INDIRECT("'"&amp;J3&amp;"'!dh"&amp;K2&amp;"")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109</v>
      </c>
      <c r="D1" s="2">
        <v>189</v>
      </c>
    </row>
    <row r="2" spans="1:15">
      <c r="D2" s="2">
        <f>D1+1</f>
        <v>190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11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22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4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14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7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2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7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5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0.92307692307692313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14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0.93333333333333335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5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0.83333333333333337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7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110</v>
      </c>
      <c r="D1" s="2">
        <v>120</v>
      </c>
    </row>
    <row r="2" spans="1:15">
      <c r="D2" s="2">
        <f>D1+1</f>
        <v>121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9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16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0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5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5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0.625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0.66666666666666663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'241 (Ужур)'!D4+'241 (Солнечный)'!D4</f>
        <v>48</v>
      </c>
      <c r="E4" s="24">
        <f ca="1">'241 (Ужур)'!E4+'241 (Солнечный)'!E4</f>
        <v>0</v>
      </c>
      <c r="F4" s="24">
        <f ca="1">'241 (Ужур)'!F4+'241 (Солнечный)'!F4</f>
        <v>0</v>
      </c>
      <c r="G4" s="24">
        <f ca="1">'241 (Ужур)'!G4+'241 (Солнечный)'!G4</f>
        <v>0</v>
      </c>
      <c r="H4" s="24">
        <f ca="1">'241 (Ужур)'!H4+'241 (Солнечный)'!H4</f>
        <v>0</v>
      </c>
      <c r="I4" s="24">
        <f ca="1">'241 (Ужур)'!I4+'241 (Солнечный)'!I4</f>
        <v>0</v>
      </c>
      <c r="J4" s="24">
        <f ca="1">'241 (Ужур)'!J4+'241 (Солнечный)'!J4</f>
        <v>0</v>
      </c>
      <c r="K4" s="24">
        <f ca="1">'241 (Ужур)'!K4+'241 (Солнечный)'!K4</f>
        <v>0</v>
      </c>
      <c r="L4" s="24">
        <f ca="1">'241 (Ужур)'!L4+'241 (Солнечный)'!L4</f>
        <v>0</v>
      </c>
      <c r="M4" s="24">
        <f ca="1">'241 (Ужур)'!M4+'241 (Солнечный)'!M4</f>
        <v>0</v>
      </c>
      <c r="N4" s="24">
        <f ca="1">'241 (Ужур)'!N4+'241 (Солнечный)'!N4</f>
        <v>0</v>
      </c>
      <c r="O4" s="24">
        <f ca="1">'241 (Ужур)'!O4+'241 (Солнечный)'!O4</f>
        <v>0</v>
      </c>
    </row>
    <row r="5" spans="1:15" ht="18.75">
      <c r="A5" s="22"/>
      <c r="B5" s="24"/>
      <c r="C5" s="33">
        <f>Справочник!J1</f>
        <v>2019</v>
      </c>
      <c r="D5" s="24">
        <f ca="1">'241 (Ужур)'!D5+'241 (Солнечный)'!D5</f>
        <v>45</v>
      </c>
      <c r="E5" s="24">
        <f ca="1">'241 (Ужур)'!E5+'241 (Солнечный)'!E5</f>
        <v>0</v>
      </c>
      <c r="F5" s="24">
        <f ca="1">'241 (Ужур)'!F5+'241 (Солнечный)'!F5</f>
        <v>0</v>
      </c>
      <c r="G5" s="24">
        <f ca="1">'241 (Ужур)'!G5+'241 (Солнечный)'!G5</f>
        <v>0</v>
      </c>
      <c r="H5" s="24">
        <f ca="1">'241 (Ужур)'!H5+'241 (Солнечный)'!H5</f>
        <v>0</v>
      </c>
      <c r="I5" s="24">
        <f ca="1">'241 (Ужур)'!I5+'241 (Солнечный)'!I5</f>
        <v>0</v>
      </c>
      <c r="J5" s="24">
        <f ca="1">'241 (Ужур)'!J5+'241 (Солнечный)'!J5</f>
        <v>0</v>
      </c>
      <c r="K5" s="24">
        <f ca="1">'241 (Ужур)'!K5+'241 (Солнечный)'!K5</f>
        <v>0</v>
      </c>
      <c r="L5" s="24">
        <f ca="1">'241 (Ужур)'!L5+'241 (Солнечный)'!L5</f>
        <v>0</v>
      </c>
      <c r="M5" s="24">
        <f ca="1">'241 (Ужур)'!M5+'241 (Солнечный)'!M5</f>
        <v>0</v>
      </c>
      <c r="N5" s="24">
        <f ca="1">'241 (Ужур)'!N5+'241 (Солнечный)'!N5</f>
        <v>0</v>
      </c>
      <c r="O5" s="24">
        <f ca="1">'241 (Ужур)'!O5+'241 (Солнечный)'!O5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'241 (Ужур)'!D6+'241 (Солнечный)'!D6</f>
        <v>6</v>
      </c>
      <c r="E6" s="24">
        <f ca="1">'241 (Ужур)'!E6+'241 (Солнечный)'!E6</f>
        <v>0</v>
      </c>
      <c r="F6" s="24">
        <f ca="1">'241 (Ужур)'!F6+'241 (Солнечный)'!F6</f>
        <v>0</v>
      </c>
      <c r="G6" s="24">
        <f ca="1">'241 (Ужур)'!G6+'241 (Солнечный)'!G6</f>
        <v>0</v>
      </c>
      <c r="H6" s="24">
        <f ca="1">'241 (Ужур)'!H6+'241 (Солнечный)'!H6</f>
        <v>0</v>
      </c>
      <c r="I6" s="24">
        <f ca="1">'241 (Ужур)'!I6+'241 (Солнечный)'!I6</f>
        <v>0</v>
      </c>
      <c r="J6" s="24">
        <f ca="1">'241 (Ужур)'!J6+'241 (Солнечный)'!J6</f>
        <v>0</v>
      </c>
      <c r="K6" s="24">
        <f ca="1">'241 (Ужур)'!K6+'241 (Солнечный)'!K6</f>
        <v>0</v>
      </c>
      <c r="L6" s="24">
        <f ca="1">'241 (Ужур)'!L6+'241 (Солнечный)'!L6</f>
        <v>0</v>
      </c>
      <c r="M6" s="24">
        <f ca="1">'241 (Ужур)'!M6+'241 (Солнечный)'!M6</f>
        <v>0</v>
      </c>
      <c r="N6" s="24">
        <f ca="1">'241 (Ужур)'!N6+'241 (Солнечный)'!N6</f>
        <v>0</v>
      </c>
      <c r="O6" s="24">
        <f ca="1">'241 (Ужур)'!O6+'241 (Солнечный)'!O6</f>
        <v>0</v>
      </c>
    </row>
    <row r="7" spans="1:15">
      <c r="A7" s="25"/>
      <c r="B7" s="24"/>
      <c r="C7" s="34">
        <f>Справочник!J1</f>
        <v>2019</v>
      </c>
      <c r="D7" s="24">
        <f ca="1">'241 (Ужур)'!D7+'241 (Солнечный)'!D7</f>
        <v>8</v>
      </c>
      <c r="E7" s="24">
        <f ca="1">'241 (Ужур)'!E7+'241 (Солнечный)'!E7</f>
        <v>0</v>
      </c>
      <c r="F7" s="24">
        <f ca="1">'241 (Ужур)'!F7+'241 (Солнечный)'!F7</f>
        <v>0</v>
      </c>
      <c r="G7" s="24">
        <f ca="1">'241 (Ужур)'!G7+'241 (Солнечный)'!G7</f>
        <v>0</v>
      </c>
      <c r="H7" s="24">
        <f ca="1">'241 (Ужур)'!H7+'241 (Солнечный)'!H7</f>
        <v>0</v>
      </c>
      <c r="I7" s="24">
        <f ca="1">'241 (Ужур)'!I7+'241 (Солнечный)'!I7</f>
        <v>0</v>
      </c>
      <c r="J7" s="24">
        <f ca="1">'241 (Ужур)'!J7+'241 (Солнечный)'!J7</f>
        <v>0</v>
      </c>
      <c r="K7" s="24">
        <f ca="1">'241 (Ужур)'!K7+'241 (Солнечный)'!K7</f>
        <v>0</v>
      </c>
      <c r="L7" s="24">
        <f ca="1">'241 (Ужур)'!L7+'241 (Солнечный)'!L7</f>
        <v>0</v>
      </c>
      <c r="M7" s="24">
        <f ca="1">'241 (Ужур)'!M7+'241 (Солнечный)'!M7</f>
        <v>0</v>
      </c>
      <c r="N7" s="24">
        <f ca="1">'241 (Ужур)'!N7+'241 (Солнечный)'!N7</f>
        <v>0</v>
      </c>
      <c r="O7" s="24">
        <f ca="1">'241 (Ужур)'!O7+'241 (Солнечный)'!O7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'241 (Ужур)'!D8+'241 (Солнечный)'!D8</f>
        <v>0</v>
      </c>
      <c r="E8" s="24">
        <f ca="1">'241 (Ужур)'!E8+'241 (Солнечный)'!E8</f>
        <v>0</v>
      </c>
      <c r="F8" s="24">
        <f ca="1">'241 (Ужур)'!F8+'241 (Солнечный)'!F8</f>
        <v>0</v>
      </c>
      <c r="G8" s="24">
        <f ca="1">'241 (Ужур)'!G8+'241 (Солнечный)'!G8</f>
        <v>0</v>
      </c>
      <c r="H8" s="24">
        <f ca="1">'241 (Ужур)'!H8+'241 (Солнечный)'!H8</f>
        <v>0</v>
      </c>
      <c r="I8" s="24">
        <f ca="1">'241 (Ужур)'!I8+'241 (Солнечный)'!I8</f>
        <v>0</v>
      </c>
      <c r="J8" s="24">
        <f ca="1">'241 (Ужур)'!J8+'241 (Солнечный)'!J8</f>
        <v>0</v>
      </c>
      <c r="K8" s="24">
        <f ca="1">'241 (Ужур)'!K8+'241 (Солнечный)'!K8</f>
        <v>0</v>
      </c>
      <c r="L8" s="24">
        <f ca="1">'241 (Ужур)'!L8+'241 (Солнечный)'!L8</f>
        <v>0</v>
      </c>
      <c r="M8" s="24">
        <f ca="1">'241 (Ужур)'!M8+'241 (Солнечный)'!M8</f>
        <v>0</v>
      </c>
      <c r="N8" s="24">
        <f ca="1">'241 (Ужур)'!N8+'241 (Солнечный)'!N8</f>
        <v>0</v>
      </c>
      <c r="O8" s="24">
        <f ca="1">'241 (Ужур)'!O8+'241 (Солнечный)'!O8</f>
        <v>0</v>
      </c>
    </row>
    <row r="9" spans="1:15">
      <c r="A9" s="32"/>
      <c r="B9" s="24"/>
      <c r="C9" s="34">
        <f>Справочник!J1</f>
        <v>2019</v>
      </c>
      <c r="D9" s="24">
        <f ca="1">'241 (Ужур)'!D9+'241 (Солнечный)'!D9</f>
        <v>2</v>
      </c>
      <c r="E9" s="24">
        <f ca="1">'241 (Ужур)'!E9+'241 (Солнечный)'!E9</f>
        <v>0</v>
      </c>
      <c r="F9" s="24">
        <f ca="1">'241 (Ужур)'!F9+'241 (Солнечный)'!F9</f>
        <v>0</v>
      </c>
      <c r="G9" s="24">
        <f ca="1">'241 (Ужур)'!G9+'241 (Солнечный)'!G9</f>
        <v>0</v>
      </c>
      <c r="H9" s="24">
        <f ca="1">'241 (Ужур)'!H9+'241 (Солнечный)'!H9</f>
        <v>0</v>
      </c>
      <c r="I9" s="24">
        <f ca="1">'241 (Ужур)'!I9+'241 (Солнечный)'!I9</f>
        <v>0</v>
      </c>
      <c r="J9" s="24">
        <f ca="1">'241 (Ужур)'!J9+'241 (Солнечный)'!J9</f>
        <v>0</v>
      </c>
      <c r="K9" s="24">
        <f ca="1">'241 (Ужур)'!K9+'241 (Солнечный)'!K9</f>
        <v>0</v>
      </c>
      <c r="L9" s="24">
        <f ca="1">'241 (Ужур)'!L9+'241 (Солнечный)'!L9</f>
        <v>0</v>
      </c>
      <c r="M9" s="24">
        <f ca="1">'241 (Ужур)'!M9+'241 (Солнечный)'!M9</f>
        <v>0</v>
      </c>
      <c r="N9" s="24">
        <f ca="1">'241 (Ужур)'!N9+'241 (Солнечный)'!N9</f>
        <v>0</v>
      </c>
      <c r="O9" s="24">
        <f ca="1">'241 (Ужур)'!O9+'241 (Солнечный)'!O9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'241 (Ужур)'!D10+'241 (Солнечный)'!D10</f>
        <v>1</v>
      </c>
      <c r="E10" s="24">
        <f ca="1">'241 (Ужур)'!E10+'241 (Солнечный)'!E10</f>
        <v>0</v>
      </c>
      <c r="F10" s="24">
        <f ca="1">'241 (Ужур)'!F10+'241 (Солнечный)'!F10</f>
        <v>0</v>
      </c>
      <c r="G10" s="24">
        <f ca="1">'241 (Ужур)'!G10+'241 (Солнечный)'!G10</f>
        <v>0</v>
      </c>
      <c r="H10" s="24">
        <f ca="1">'241 (Ужур)'!H10+'241 (Солнечный)'!H10</f>
        <v>0</v>
      </c>
      <c r="I10" s="24">
        <f ca="1">'241 (Ужур)'!I10+'241 (Солнечный)'!I10</f>
        <v>0</v>
      </c>
      <c r="J10" s="24">
        <f ca="1">'241 (Ужур)'!J10+'241 (Солнечный)'!J10</f>
        <v>0</v>
      </c>
      <c r="K10" s="24">
        <f ca="1">'241 (Ужур)'!K10+'241 (Солнечный)'!K10</f>
        <v>0</v>
      </c>
      <c r="L10" s="24">
        <f ca="1">'241 (Ужур)'!L10+'241 (Солнечный)'!L10</f>
        <v>0</v>
      </c>
      <c r="M10" s="24">
        <f ca="1">'241 (Ужур)'!M10+'241 (Солнечный)'!M10</f>
        <v>0</v>
      </c>
      <c r="N10" s="24">
        <f ca="1">'241 (Ужур)'!N10+'241 (Солнечный)'!N10</f>
        <v>0</v>
      </c>
      <c r="O10" s="24">
        <f ca="1">'241 (Ужур)'!O10+'241 (Солнечный)'!O10</f>
        <v>0</v>
      </c>
    </row>
    <row r="11" spans="1:15">
      <c r="A11" s="29"/>
      <c r="B11" s="24"/>
      <c r="C11" s="33">
        <f>Справочник!J1</f>
        <v>2019</v>
      </c>
      <c r="D11" s="24">
        <f ca="1">'241 (Ужур)'!D11+'241 (Солнечный)'!D11</f>
        <v>0</v>
      </c>
      <c r="E11" s="24">
        <f ca="1">'241 (Ужур)'!E11+'241 (Солнечный)'!E11</f>
        <v>0</v>
      </c>
      <c r="F11" s="24">
        <f ca="1">'241 (Ужур)'!F11+'241 (Солнечный)'!F11</f>
        <v>0</v>
      </c>
      <c r="G11" s="24">
        <f ca="1">'241 (Ужур)'!G11+'241 (Солнечный)'!G11</f>
        <v>0</v>
      </c>
      <c r="H11" s="24">
        <f ca="1">'241 (Ужур)'!H11+'241 (Солнечный)'!H11</f>
        <v>0</v>
      </c>
      <c r="I11" s="24">
        <f ca="1">'241 (Ужур)'!I11+'241 (Солнечный)'!I11</f>
        <v>0</v>
      </c>
      <c r="J11" s="24">
        <f ca="1">'241 (Ужур)'!J11+'241 (Солнечный)'!J11</f>
        <v>0</v>
      </c>
      <c r="K11" s="24">
        <f ca="1">'241 (Ужур)'!K11+'241 (Солнечный)'!K11</f>
        <v>0</v>
      </c>
      <c r="L11" s="24">
        <f ca="1">'241 (Ужур)'!L11+'241 (Солнечный)'!L11</f>
        <v>0</v>
      </c>
      <c r="M11" s="24">
        <f ca="1">'241 (Ужур)'!M11+'241 (Солнечный)'!M11</f>
        <v>0</v>
      </c>
      <c r="N11" s="24">
        <f ca="1">'241 (Ужур)'!N11+'241 (Солнечный)'!N11</f>
        <v>0</v>
      </c>
      <c r="O11" s="24">
        <f ca="1">'241 (Ужур)'!O11+'241 (Солнечный)'!O11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'241 (Ужур)'!D12+'241 (Солнечный)'!D12</f>
        <v>0</v>
      </c>
      <c r="E12" s="24">
        <f ca="1">'241 (Ужур)'!E12+'241 (Солнечный)'!E12</f>
        <v>0</v>
      </c>
      <c r="F12" s="24">
        <f ca="1">'241 (Ужур)'!F12+'241 (Солнечный)'!F12</f>
        <v>0</v>
      </c>
      <c r="G12" s="24">
        <f ca="1">'241 (Ужур)'!G12+'241 (Солнечный)'!G12</f>
        <v>0</v>
      </c>
      <c r="H12" s="24">
        <f ca="1">'241 (Ужур)'!H12+'241 (Солнечный)'!H12</f>
        <v>0</v>
      </c>
      <c r="I12" s="24">
        <f ca="1">'241 (Ужур)'!I12+'241 (Солнечный)'!I12</f>
        <v>0</v>
      </c>
      <c r="J12" s="24">
        <f ca="1">'241 (Ужур)'!J12+'241 (Солнечный)'!J12</f>
        <v>0</v>
      </c>
      <c r="K12" s="24">
        <f ca="1">'241 (Ужур)'!K12+'241 (Солнечный)'!K12</f>
        <v>0</v>
      </c>
      <c r="L12" s="24">
        <f ca="1">'241 (Ужур)'!L12+'241 (Солнечный)'!L12</f>
        <v>0</v>
      </c>
      <c r="M12" s="24">
        <f ca="1">'241 (Ужур)'!M12+'241 (Солнечный)'!M12</f>
        <v>0</v>
      </c>
      <c r="N12" s="24">
        <f ca="1">'241 (Ужур)'!N12+'241 (Солнечный)'!N12</f>
        <v>0</v>
      </c>
      <c r="O12" s="24">
        <f ca="1">'241 (Ужур)'!O12+'241 (Солнечный)'!O12</f>
        <v>0</v>
      </c>
    </row>
    <row r="13" spans="1:15">
      <c r="A13" s="28"/>
      <c r="B13" s="24"/>
      <c r="C13" s="33">
        <f>Справочник!J1</f>
        <v>2019</v>
      </c>
      <c r="D13" s="24">
        <f ca="1">'241 (Ужур)'!D13+'241 (Солнечный)'!D13</f>
        <v>0</v>
      </c>
      <c r="E13" s="24">
        <f ca="1">'241 (Ужур)'!E13+'241 (Солнечный)'!E13</f>
        <v>0</v>
      </c>
      <c r="F13" s="24">
        <f ca="1">'241 (Ужур)'!F13+'241 (Солнечный)'!F13</f>
        <v>0</v>
      </c>
      <c r="G13" s="24">
        <f ca="1">'241 (Ужур)'!G13+'241 (Солнечный)'!G13</f>
        <v>0</v>
      </c>
      <c r="H13" s="24">
        <f ca="1">'241 (Ужур)'!H13+'241 (Солнечный)'!H13</f>
        <v>0</v>
      </c>
      <c r="I13" s="24">
        <f ca="1">'241 (Ужур)'!I13+'241 (Солнечный)'!I13</f>
        <v>0</v>
      </c>
      <c r="J13" s="24">
        <f ca="1">'241 (Ужур)'!J13+'241 (Солнечный)'!J13</f>
        <v>0</v>
      </c>
      <c r="K13" s="24">
        <f ca="1">'241 (Ужур)'!K13+'241 (Солнечный)'!K13</f>
        <v>0</v>
      </c>
      <c r="L13" s="24">
        <f ca="1">'241 (Ужур)'!L13+'241 (Солнечный)'!L13</f>
        <v>0</v>
      </c>
      <c r="M13" s="24">
        <f ca="1">'241 (Ужур)'!M13+'241 (Солнечный)'!M13</f>
        <v>0</v>
      </c>
      <c r="N13" s="24">
        <f ca="1">'241 (Ужур)'!N13+'241 (Солнечный)'!N13</f>
        <v>0</v>
      </c>
      <c r="O13" s="24">
        <f ca="1">'241 (Ужур)'!O13+'241 (Солнечный)'!O13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'241 (Ужур)'!D14+'241 (Солнечный)'!D14</f>
        <v>0</v>
      </c>
      <c r="E14" s="24">
        <f ca="1">'241 (Ужур)'!E14+'241 (Солнечный)'!E14</f>
        <v>0</v>
      </c>
      <c r="F14" s="24">
        <f ca="1">'241 (Ужур)'!F14+'241 (Солнечный)'!F14</f>
        <v>0</v>
      </c>
      <c r="G14" s="24">
        <f ca="1">'241 (Ужур)'!G14+'241 (Солнечный)'!G14</f>
        <v>0</v>
      </c>
      <c r="H14" s="24">
        <f ca="1">'241 (Ужур)'!H14+'241 (Солнечный)'!H14</f>
        <v>0</v>
      </c>
      <c r="I14" s="24">
        <f ca="1">'241 (Ужур)'!I14+'241 (Солнечный)'!I14</f>
        <v>0</v>
      </c>
      <c r="J14" s="24">
        <f ca="1">'241 (Ужур)'!J14+'241 (Солнечный)'!J14</f>
        <v>0</v>
      </c>
      <c r="K14" s="24">
        <f ca="1">'241 (Ужур)'!K14+'241 (Солнечный)'!K14</f>
        <v>0</v>
      </c>
      <c r="L14" s="24">
        <f ca="1">'241 (Ужур)'!L14+'241 (Солнечный)'!L14</f>
        <v>0</v>
      </c>
      <c r="M14" s="24">
        <f ca="1">'241 (Ужур)'!M14+'241 (Солнечный)'!M14</f>
        <v>0</v>
      </c>
      <c r="N14" s="24">
        <f ca="1">'241 (Ужур)'!N14+'241 (Солнечный)'!N14</f>
        <v>0</v>
      </c>
      <c r="O14" s="24">
        <f ca="1">'241 (Ужур)'!O14+'241 (Солнечный)'!O14</f>
        <v>0</v>
      </c>
    </row>
    <row r="15" spans="1:15">
      <c r="A15" s="27"/>
      <c r="B15" s="24"/>
      <c r="C15" s="33">
        <f>Справочник!J1</f>
        <v>2019</v>
      </c>
      <c r="D15" s="24">
        <f ca="1">'241 (Ужур)'!D15+'241 (Солнечный)'!D15</f>
        <v>0</v>
      </c>
      <c r="E15" s="24">
        <f ca="1">'241 (Ужур)'!E15+'241 (Солнечный)'!E15</f>
        <v>0</v>
      </c>
      <c r="F15" s="24">
        <f ca="1">'241 (Ужур)'!F15+'241 (Солнечный)'!F15</f>
        <v>0</v>
      </c>
      <c r="G15" s="24">
        <f ca="1">'241 (Ужур)'!G15+'241 (Солнечный)'!G15</f>
        <v>0</v>
      </c>
      <c r="H15" s="24">
        <f ca="1">'241 (Ужур)'!H15+'241 (Солнечный)'!H15</f>
        <v>0</v>
      </c>
      <c r="I15" s="24">
        <f ca="1">'241 (Ужур)'!I15+'241 (Солнечный)'!I15</f>
        <v>0</v>
      </c>
      <c r="J15" s="24">
        <f ca="1">'241 (Ужур)'!J15+'241 (Солнечный)'!J15</f>
        <v>0</v>
      </c>
      <c r="K15" s="24">
        <f ca="1">'241 (Ужур)'!K15+'241 (Солнечный)'!K15</f>
        <v>0</v>
      </c>
      <c r="L15" s="24">
        <f ca="1">'241 (Ужур)'!L15+'241 (Солнечный)'!L15</f>
        <v>0</v>
      </c>
      <c r="M15" s="24">
        <f ca="1">'241 (Ужур)'!M15+'241 (Солнечный)'!M15</f>
        <v>0</v>
      </c>
      <c r="N15" s="24">
        <f ca="1">'241 (Ужур)'!N15+'241 (Солнечный)'!N15</f>
        <v>0</v>
      </c>
      <c r="O15" s="24">
        <f ca="1">'241 (Ужур)'!O15+'241 (Солнечный)'!O15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'241 (Ужур)'!D16+'241 (Солнечный)'!D16</f>
        <v>11</v>
      </c>
      <c r="E16" s="24">
        <f ca="1">'241 (Ужур)'!E16+'241 (Солнечный)'!E16</f>
        <v>0</v>
      </c>
      <c r="F16" s="24">
        <f ca="1">'241 (Ужур)'!F16+'241 (Солнечный)'!F16</f>
        <v>0</v>
      </c>
      <c r="G16" s="24">
        <f ca="1">'241 (Ужур)'!G16+'241 (Солнечный)'!G16</f>
        <v>0</v>
      </c>
      <c r="H16" s="24">
        <f ca="1">'241 (Ужур)'!H16+'241 (Солнечный)'!H16</f>
        <v>0</v>
      </c>
      <c r="I16" s="24">
        <f ca="1">'241 (Ужур)'!I16+'241 (Солнечный)'!I16</f>
        <v>0</v>
      </c>
      <c r="J16" s="24">
        <f ca="1">'241 (Ужур)'!J16+'241 (Солнечный)'!J16</f>
        <v>0</v>
      </c>
      <c r="K16" s="24">
        <f ca="1">'241 (Ужур)'!K16+'241 (Солнечный)'!K16</f>
        <v>0</v>
      </c>
      <c r="L16" s="24">
        <f ca="1">'241 (Ужур)'!L16+'241 (Солнечный)'!L16</f>
        <v>0</v>
      </c>
      <c r="M16" s="24">
        <f ca="1">'241 (Ужур)'!M16+'241 (Солнечный)'!M16</f>
        <v>0</v>
      </c>
      <c r="N16" s="24">
        <f ca="1">'241 (Ужур)'!N16+'241 (Солнечный)'!N16</f>
        <v>0</v>
      </c>
      <c r="O16" s="24">
        <f ca="1">'241 (Ужур)'!O16+'241 (Солнечный)'!O16</f>
        <v>0</v>
      </c>
    </row>
    <row r="17" spans="1:15">
      <c r="A17" s="25"/>
      <c r="B17" s="24"/>
      <c r="C17" s="33">
        <f>Справочник!J1</f>
        <v>2019</v>
      </c>
      <c r="D17" s="24">
        <f ca="1">'241 (Ужур)'!D17+'241 (Солнечный)'!D17</f>
        <v>14</v>
      </c>
      <c r="E17" s="24">
        <f ca="1">'241 (Ужур)'!E17+'241 (Солнечный)'!E17</f>
        <v>0</v>
      </c>
      <c r="F17" s="24">
        <f ca="1">'241 (Ужур)'!F17+'241 (Солнечный)'!F17</f>
        <v>0</v>
      </c>
      <c r="G17" s="24">
        <f ca="1">'241 (Ужур)'!G17+'241 (Солнечный)'!G17</f>
        <v>0</v>
      </c>
      <c r="H17" s="24">
        <f ca="1">'241 (Ужур)'!H17+'241 (Солнечный)'!H17</f>
        <v>0</v>
      </c>
      <c r="I17" s="24">
        <f ca="1">'241 (Ужур)'!I17+'241 (Солнечный)'!I17</f>
        <v>0</v>
      </c>
      <c r="J17" s="24">
        <f ca="1">'241 (Ужур)'!J17+'241 (Солнечный)'!J17</f>
        <v>0</v>
      </c>
      <c r="K17" s="24">
        <f ca="1">'241 (Ужур)'!K17+'241 (Солнечный)'!K17</f>
        <v>0</v>
      </c>
      <c r="L17" s="24">
        <f ca="1">'241 (Ужур)'!L17+'241 (Солнечный)'!L17</f>
        <v>0</v>
      </c>
      <c r="M17" s="24">
        <f ca="1">'241 (Ужур)'!M17+'241 (Солнечный)'!M17</f>
        <v>0</v>
      </c>
      <c r="N17" s="24">
        <f ca="1">'241 (Ужур)'!N17+'241 (Солнечный)'!N17</f>
        <v>0</v>
      </c>
      <c r="O17" s="24">
        <f ca="1">'241 (Ужур)'!O17+'241 (Солнечный)'!O17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'241 (Ужур)'!D18+'241 (Солнечный)'!D18</f>
        <v>0</v>
      </c>
      <c r="E18" s="24">
        <f ca="1">'241 (Ужур)'!E18+'241 (Солнечный)'!E18</f>
        <v>0</v>
      </c>
      <c r="F18" s="24">
        <f ca="1">'241 (Ужур)'!F18+'241 (Солнечный)'!F18</f>
        <v>0</v>
      </c>
      <c r="G18" s="24">
        <f ca="1">'241 (Ужур)'!G18+'241 (Солнечный)'!G18</f>
        <v>0</v>
      </c>
      <c r="H18" s="24">
        <f ca="1">'241 (Ужур)'!H18+'241 (Солнечный)'!H18</f>
        <v>0</v>
      </c>
      <c r="I18" s="24">
        <f ca="1">'241 (Ужур)'!I18+'241 (Солнечный)'!I18</f>
        <v>0</v>
      </c>
      <c r="J18" s="24">
        <f ca="1">'241 (Ужур)'!J18+'241 (Солнечный)'!J18</f>
        <v>0</v>
      </c>
      <c r="K18" s="24">
        <f ca="1">'241 (Ужур)'!K18+'241 (Солнечный)'!K18</f>
        <v>0</v>
      </c>
      <c r="L18" s="24">
        <f ca="1">'241 (Ужур)'!L18+'241 (Солнечный)'!L18</f>
        <v>0</v>
      </c>
      <c r="M18" s="24">
        <f ca="1">'241 (Ужур)'!M18+'241 (Солнечный)'!M18</f>
        <v>0</v>
      </c>
      <c r="N18" s="24">
        <f ca="1">'241 (Ужур)'!N18+'241 (Солнечный)'!N18</f>
        <v>0</v>
      </c>
      <c r="O18" s="24">
        <f ca="1">'241 (Ужур)'!O18+'241 (Солнечный)'!O18</f>
        <v>0</v>
      </c>
    </row>
    <row r="19" spans="1:15">
      <c r="A19" s="27"/>
      <c r="B19" s="24"/>
      <c r="C19" s="33">
        <f>Справочник!J1</f>
        <v>2019</v>
      </c>
      <c r="D19" s="24">
        <f ca="1">'241 (Ужур)'!D19+'241 (Солнечный)'!D19</f>
        <v>1</v>
      </c>
      <c r="E19" s="24">
        <f ca="1">'241 (Ужур)'!E19+'241 (Солнечный)'!E19</f>
        <v>0</v>
      </c>
      <c r="F19" s="24">
        <f ca="1">'241 (Ужур)'!F19+'241 (Солнечный)'!F19</f>
        <v>0</v>
      </c>
      <c r="G19" s="24">
        <f ca="1">'241 (Ужур)'!G19+'241 (Солнечный)'!G19</f>
        <v>0</v>
      </c>
      <c r="H19" s="24">
        <f ca="1">'241 (Ужур)'!H19+'241 (Солнечный)'!H19</f>
        <v>0</v>
      </c>
      <c r="I19" s="24">
        <f ca="1">'241 (Ужур)'!I19+'241 (Солнечный)'!I19</f>
        <v>0</v>
      </c>
      <c r="J19" s="24">
        <f ca="1">'241 (Ужур)'!J19+'241 (Солнечный)'!J19</f>
        <v>0</v>
      </c>
      <c r="K19" s="24">
        <f ca="1">'241 (Ужур)'!K19+'241 (Солнечный)'!K19</f>
        <v>0</v>
      </c>
      <c r="L19" s="24">
        <f ca="1">'241 (Ужур)'!L19+'241 (Солнечный)'!L19</f>
        <v>0</v>
      </c>
      <c r="M19" s="24">
        <f ca="1">'241 (Ужур)'!M19+'241 (Солнечный)'!M19</f>
        <v>0</v>
      </c>
      <c r="N19" s="24">
        <f ca="1">'241 (Ужур)'!N19+'241 (Солнечный)'!N19</f>
        <v>0</v>
      </c>
      <c r="O19" s="24">
        <f ca="1">'241 (Ужур)'!O19+'241 (Солнечный)'!O19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'241 (Ужур)'!D20+'241 (Солнечный)'!D20</f>
        <v>3</v>
      </c>
      <c r="E20" s="24">
        <f ca="1">'241 (Ужур)'!E20+'241 (Солнечный)'!E20</f>
        <v>0</v>
      </c>
      <c r="F20" s="24">
        <f ca="1">'241 (Ужур)'!F20+'241 (Солнечный)'!F20</f>
        <v>0</v>
      </c>
      <c r="G20" s="24">
        <f ca="1">'241 (Ужур)'!G20+'241 (Солнечный)'!G20</f>
        <v>0</v>
      </c>
      <c r="H20" s="24">
        <f ca="1">'241 (Ужур)'!H20+'241 (Солнечный)'!H20</f>
        <v>0</v>
      </c>
      <c r="I20" s="24">
        <f ca="1">'241 (Ужур)'!I20+'241 (Солнечный)'!I20</f>
        <v>0</v>
      </c>
      <c r="J20" s="24">
        <f ca="1">'241 (Ужур)'!J20+'241 (Солнечный)'!J20</f>
        <v>0</v>
      </c>
      <c r="K20" s="24">
        <f ca="1">'241 (Ужур)'!K20+'241 (Солнечный)'!K20</f>
        <v>0</v>
      </c>
      <c r="L20" s="24">
        <f ca="1">'241 (Ужур)'!L20+'241 (Солнечный)'!L20</f>
        <v>0</v>
      </c>
      <c r="M20" s="24">
        <f ca="1">'241 (Ужур)'!M20+'241 (Солнечный)'!M20</f>
        <v>0</v>
      </c>
      <c r="N20" s="24">
        <f ca="1">'241 (Ужур)'!N20+'241 (Солнечный)'!N20</f>
        <v>0</v>
      </c>
      <c r="O20" s="24">
        <f ca="1">'241 (Ужур)'!O20+'241 (Солнечный)'!O20</f>
        <v>0</v>
      </c>
    </row>
    <row r="21" spans="1:15">
      <c r="A21" s="25"/>
      <c r="B21" s="24"/>
      <c r="C21" s="33">
        <f>Справочник!J1</f>
        <v>2019</v>
      </c>
      <c r="D21" s="24">
        <f ca="1">'241 (Ужур)'!D21+'241 (Солнечный)'!D21</f>
        <v>1</v>
      </c>
      <c r="E21" s="24">
        <f ca="1">'241 (Ужур)'!E21+'241 (Солнечный)'!E21</f>
        <v>0</v>
      </c>
      <c r="F21" s="24">
        <f ca="1">'241 (Ужур)'!F21+'241 (Солнечный)'!F21</f>
        <v>0</v>
      </c>
      <c r="G21" s="24">
        <f ca="1">'241 (Ужур)'!G21+'241 (Солнечный)'!G21</f>
        <v>0</v>
      </c>
      <c r="H21" s="24">
        <f ca="1">'241 (Ужур)'!H21+'241 (Солнечный)'!H21</f>
        <v>0</v>
      </c>
      <c r="I21" s="24">
        <f ca="1">'241 (Ужур)'!I21+'241 (Солнечный)'!I21</f>
        <v>0</v>
      </c>
      <c r="J21" s="24">
        <f ca="1">'241 (Ужур)'!J21+'241 (Солнечный)'!J21</f>
        <v>0</v>
      </c>
      <c r="K21" s="24">
        <f ca="1">'241 (Ужур)'!K21+'241 (Солнечный)'!K21</f>
        <v>0</v>
      </c>
      <c r="L21" s="24">
        <f ca="1">'241 (Ужур)'!L21+'241 (Солнечный)'!L21</f>
        <v>0</v>
      </c>
      <c r="M21" s="24">
        <f ca="1">'241 (Ужур)'!M21+'241 (Солнечный)'!M21</f>
        <v>0</v>
      </c>
      <c r="N21" s="24">
        <f ca="1">'241 (Ужур)'!N21+'241 (Солнечный)'!N21</f>
        <v>0</v>
      </c>
      <c r="O21" s="24">
        <f ca="1">'241 (Ужур)'!O21+'241 (Солнечный)'!O21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'241 (Ужур)'!D22+'241 (Солнечный)'!D22</f>
        <v>0</v>
      </c>
      <c r="E22" s="24">
        <f ca="1">'241 (Ужур)'!E22+'241 (Солнечный)'!E22</f>
        <v>0</v>
      </c>
      <c r="F22" s="24">
        <f ca="1">'241 (Ужур)'!F22+'241 (Солнечный)'!F22</f>
        <v>0</v>
      </c>
      <c r="G22" s="24">
        <f ca="1">'241 (Ужур)'!G22+'241 (Солнечный)'!G22</f>
        <v>0</v>
      </c>
      <c r="H22" s="24">
        <f ca="1">'241 (Ужур)'!H22+'241 (Солнечный)'!H22</f>
        <v>0</v>
      </c>
      <c r="I22" s="24">
        <f ca="1">'241 (Ужур)'!I22+'241 (Солнечный)'!I22</f>
        <v>0</v>
      </c>
      <c r="J22" s="24">
        <f ca="1">'241 (Ужур)'!J22+'241 (Солнечный)'!J22</f>
        <v>0</v>
      </c>
      <c r="K22" s="24">
        <f ca="1">'241 (Ужур)'!K22+'241 (Солнечный)'!K22</f>
        <v>0</v>
      </c>
      <c r="L22" s="24">
        <f ca="1">'241 (Ужур)'!L22+'241 (Солнечный)'!L22</f>
        <v>0</v>
      </c>
      <c r="M22" s="24">
        <f ca="1">'241 (Ужур)'!M22+'241 (Солнечный)'!M22</f>
        <v>0</v>
      </c>
      <c r="N22" s="24">
        <f ca="1">'241 (Ужур)'!N22+'241 (Солнечный)'!N22</f>
        <v>0</v>
      </c>
      <c r="O22" s="24">
        <f ca="1">'241 (Ужур)'!O22+'241 (Солнечный)'!O22</f>
        <v>0</v>
      </c>
    </row>
    <row r="23" spans="1:15">
      <c r="A23" s="27"/>
      <c r="B23" s="24"/>
      <c r="C23" s="33">
        <f>Справочник!J1</f>
        <v>2019</v>
      </c>
      <c r="D23" s="24">
        <f ca="1">'241 (Ужур)'!D23+'241 (Солнечный)'!D23</f>
        <v>1</v>
      </c>
      <c r="E23" s="24">
        <f ca="1">'241 (Ужур)'!E23+'241 (Солнечный)'!E23</f>
        <v>0</v>
      </c>
      <c r="F23" s="24">
        <f ca="1">'241 (Ужур)'!F23+'241 (Солнечный)'!F23</f>
        <v>0</v>
      </c>
      <c r="G23" s="24">
        <f ca="1">'241 (Ужур)'!G23+'241 (Солнечный)'!G23</f>
        <v>0</v>
      </c>
      <c r="H23" s="24">
        <f ca="1">'241 (Ужур)'!H23+'241 (Солнечный)'!H23</f>
        <v>0</v>
      </c>
      <c r="I23" s="24">
        <f ca="1">'241 (Ужур)'!I23+'241 (Солнечный)'!I23</f>
        <v>0</v>
      </c>
      <c r="J23" s="24">
        <f ca="1">'241 (Ужур)'!J23+'241 (Солнечный)'!J23</f>
        <v>0</v>
      </c>
      <c r="K23" s="24">
        <f ca="1">'241 (Ужур)'!K23+'241 (Солнечный)'!K23</f>
        <v>0</v>
      </c>
      <c r="L23" s="24">
        <f ca="1">'241 (Ужур)'!L23+'241 (Солнечный)'!L23</f>
        <v>0</v>
      </c>
      <c r="M23" s="24">
        <f ca="1">'241 (Ужур)'!M23+'241 (Солнечный)'!M23</f>
        <v>0</v>
      </c>
      <c r="N23" s="24">
        <f ca="1">'241 (Ужур)'!N23+'241 (Солнечный)'!N23</f>
        <v>0</v>
      </c>
      <c r="O23" s="24">
        <f ca="1">'241 (Ужур)'!O23+'241 (Солнечный)'!O23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'241 (Ужур)'!D24+'241 (Солнечный)'!D24</f>
        <v>0</v>
      </c>
      <c r="E24" s="24">
        <f ca="1">'241 (Ужур)'!E24+'241 (Солнечный)'!E24</f>
        <v>0</v>
      </c>
      <c r="F24" s="24">
        <f ca="1">'241 (Ужур)'!F24+'241 (Солнечный)'!F24</f>
        <v>0</v>
      </c>
      <c r="G24" s="24">
        <f ca="1">'241 (Ужур)'!G24+'241 (Солнечный)'!G24</f>
        <v>0</v>
      </c>
      <c r="H24" s="24">
        <f ca="1">'241 (Ужур)'!H24+'241 (Солнечный)'!H24</f>
        <v>0</v>
      </c>
      <c r="I24" s="24">
        <f ca="1">'241 (Ужур)'!I24+'241 (Солнечный)'!I24</f>
        <v>0</v>
      </c>
      <c r="J24" s="24">
        <f ca="1">'241 (Ужур)'!J24+'241 (Солнечный)'!J24</f>
        <v>0</v>
      </c>
      <c r="K24" s="24">
        <f ca="1">'241 (Ужур)'!K24+'241 (Солнечный)'!K24</f>
        <v>0</v>
      </c>
      <c r="L24" s="24">
        <f ca="1">'241 (Ужур)'!L24+'241 (Солнечный)'!L24</f>
        <v>0</v>
      </c>
      <c r="M24" s="24">
        <f ca="1">'241 (Ужур)'!M24+'241 (Солнечный)'!M24</f>
        <v>0</v>
      </c>
      <c r="N24" s="24">
        <f ca="1">'241 (Ужур)'!N24+'241 (Солнечный)'!N24</f>
        <v>0</v>
      </c>
      <c r="O24" s="24">
        <f ca="1">'241 (Ужур)'!O24+'241 (Солнечный)'!O24</f>
        <v>0</v>
      </c>
    </row>
    <row r="25" spans="1:15">
      <c r="A25" s="25"/>
      <c r="B25" s="24"/>
      <c r="C25" s="33">
        <f>Справочник!J1</f>
        <v>2019</v>
      </c>
      <c r="D25" s="24">
        <f ca="1">'241 (Ужур)'!D25+'241 (Солнечный)'!D25</f>
        <v>0</v>
      </c>
      <c r="E25" s="24">
        <f ca="1">'241 (Ужур)'!E25+'241 (Солнечный)'!E25</f>
        <v>0</v>
      </c>
      <c r="F25" s="24">
        <f ca="1">'241 (Ужур)'!F25+'241 (Солнечный)'!F25</f>
        <v>0</v>
      </c>
      <c r="G25" s="24">
        <f ca="1">'241 (Ужур)'!G25+'241 (Солнечный)'!G25</f>
        <v>0</v>
      </c>
      <c r="H25" s="24">
        <f ca="1">'241 (Ужур)'!H25+'241 (Солнечный)'!H25</f>
        <v>0</v>
      </c>
      <c r="I25" s="24">
        <f ca="1">'241 (Ужур)'!I25+'241 (Солнечный)'!I25</f>
        <v>0</v>
      </c>
      <c r="J25" s="24">
        <f ca="1">'241 (Ужур)'!J25+'241 (Солнечный)'!J25</f>
        <v>0</v>
      </c>
      <c r="K25" s="24">
        <f ca="1">'241 (Ужур)'!K25+'241 (Солнечный)'!K25</f>
        <v>0</v>
      </c>
      <c r="L25" s="24">
        <f ca="1">'241 (Ужур)'!L25+'241 (Солнечный)'!L25</f>
        <v>0</v>
      </c>
      <c r="M25" s="24">
        <f ca="1">'241 (Ужур)'!M25+'241 (Солнечный)'!M25</f>
        <v>0</v>
      </c>
      <c r="N25" s="24">
        <f ca="1">'241 (Ужур)'!N25+'241 (Солнечный)'!N25</f>
        <v>0</v>
      </c>
      <c r="O25" s="24">
        <f ca="1">'241 (Ужур)'!O25+'241 (Солнечный)'!O25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'241 (Ужур)'!D26+'241 (Солнечный)'!D26</f>
        <v>0</v>
      </c>
      <c r="E26" s="24">
        <f ca="1">'241 (Ужур)'!E26+'241 (Солнечный)'!E26</f>
        <v>0</v>
      </c>
      <c r="F26" s="24">
        <f ca="1">'241 (Ужур)'!F26+'241 (Солнечный)'!F26</f>
        <v>0</v>
      </c>
      <c r="G26" s="24">
        <f ca="1">'241 (Ужур)'!G26+'241 (Солнечный)'!G26</f>
        <v>0</v>
      </c>
      <c r="H26" s="24">
        <f ca="1">'241 (Ужур)'!H26+'241 (Солнечный)'!H26</f>
        <v>0</v>
      </c>
      <c r="I26" s="24">
        <f ca="1">'241 (Ужур)'!I26+'241 (Солнечный)'!I26</f>
        <v>0</v>
      </c>
      <c r="J26" s="24">
        <f ca="1">'241 (Ужур)'!J26+'241 (Солнечный)'!J26</f>
        <v>0</v>
      </c>
      <c r="K26" s="24">
        <f ca="1">'241 (Ужур)'!K26+'241 (Солнечный)'!K26</f>
        <v>0</v>
      </c>
      <c r="L26" s="24">
        <f ca="1">'241 (Ужур)'!L26+'241 (Солнечный)'!L26</f>
        <v>0</v>
      </c>
      <c r="M26" s="24">
        <f ca="1">'241 (Ужур)'!M26+'241 (Солнечный)'!M26</f>
        <v>0</v>
      </c>
      <c r="N26" s="24">
        <f ca="1">'241 (Ужур)'!N26+'241 (Солнечный)'!N26</f>
        <v>0</v>
      </c>
      <c r="O26" s="24">
        <f ca="1">'241 (Ужур)'!O26+'241 (Солнечный)'!O26</f>
        <v>0</v>
      </c>
    </row>
    <row r="27" spans="1:15">
      <c r="A27" s="29"/>
      <c r="B27" s="24"/>
      <c r="C27" s="33">
        <f>Справочник!J1</f>
        <v>2019</v>
      </c>
      <c r="D27" s="24">
        <f ca="1">'241 (Ужур)'!D27+'241 (Солнечный)'!D27</f>
        <v>0</v>
      </c>
      <c r="E27" s="24">
        <f ca="1">'241 (Ужур)'!E27+'241 (Солнечный)'!E27</f>
        <v>0</v>
      </c>
      <c r="F27" s="24">
        <f ca="1">'241 (Ужур)'!F27+'241 (Солнечный)'!F27</f>
        <v>0</v>
      </c>
      <c r="G27" s="24">
        <f ca="1">'241 (Ужур)'!G27+'241 (Солнечный)'!G27</f>
        <v>0</v>
      </c>
      <c r="H27" s="24">
        <f ca="1">'241 (Ужур)'!H27+'241 (Солнечный)'!H27</f>
        <v>0</v>
      </c>
      <c r="I27" s="24">
        <f ca="1">'241 (Ужур)'!I27+'241 (Солнечный)'!I27</f>
        <v>0</v>
      </c>
      <c r="J27" s="24">
        <f ca="1">'241 (Ужур)'!J27+'241 (Солнечный)'!J27</f>
        <v>0</v>
      </c>
      <c r="K27" s="24">
        <f ca="1">'241 (Ужур)'!K27+'241 (Солнечный)'!K27</f>
        <v>0</v>
      </c>
      <c r="L27" s="24">
        <f ca="1">'241 (Ужур)'!L27+'241 (Солнечный)'!L27</f>
        <v>0</v>
      </c>
      <c r="M27" s="24">
        <f ca="1">'241 (Ужур)'!M27+'241 (Солнечный)'!M27</f>
        <v>0</v>
      </c>
      <c r="N27" s="24">
        <f ca="1">'241 (Ужур)'!N27+'241 (Солнечный)'!N27</f>
        <v>0</v>
      </c>
      <c r="O27" s="24">
        <f ca="1">'241 (Ужур)'!O27+'241 (Солнечный)'!O27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'241 (Ужур)'!D28+'241 (Солнечный)'!D28</f>
        <v>3</v>
      </c>
      <c r="E28" s="24">
        <f ca="1">'241 (Ужур)'!E28+'241 (Солнечный)'!E28</f>
        <v>0</v>
      </c>
      <c r="F28" s="24">
        <f ca="1">'241 (Ужур)'!F28+'241 (Солнечный)'!F28</f>
        <v>0</v>
      </c>
      <c r="G28" s="24">
        <f ca="1">'241 (Ужур)'!G28+'241 (Солнечный)'!G28</f>
        <v>0</v>
      </c>
      <c r="H28" s="24">
        <f ca="1">'241 (Ужур)'!H28+'241 (Солнечный)'!H28</f>
        <v>0</v>
      </c>
      <c r="I28" s="24">
        <f ca="1">'241 (Ужур)'!I28+'241 (Солнечный)'!I28</f>
        <v>0</v>
      </c>
      <c r="J28" s="24">
        <f ca="1">'241 (Ужур)'!J28+'241 (Солнечный)'!J28</f>
        <v>0</v>
      </c>
      <c r="K28" s="24">
        <f ca="1">'241 (Ужур)'!K28+'241 (Солнечный)'!K28</f>
        <v>0</v>
      </c>
      <c r="L28" s="24">
        <f ca="1">'241 (Ужур)'!L28+'241 (Солнечный)'!L28</f>
        <v>0</v>
      </c>
      <c r="M28" s="24">
        <f ca="1">'241 (Ужур)'!M28+'241 (Солнечный)'!M28</f>
        <v>0</v>
      </c>
      <c r="N28" s="24">
        <f ca="1">'241 (Ужур)'!N28+'241 (Солнечный)'!N28</f>
        <v>0</v>
      </c>
      <c r="O28" s="24">
        <f ca="1">'241 (Ужур)'!O28+'241 (Солнечный)'!O28</f>
        <v>0</v>
      </c>
    </row>
    <row r="29" spans="1:15">
      <c r="A29" s="28"/>
      <c r="B29" s="24"/>
      <c r="C29" s="33">
        <f>Справочник!J1</f>
        <v>2019</v>
      </c>
      <c r="D29" s="24">
        <f ca="1">'241 (Ужур)'!D29+'241 (Солнечный)'!D29</f>
        <v>2</v>
      </c>
      <c r="E29" s="24">
        <f ca="1">'241 (Ужур)'!E29+'241 (Солнечный)'!E29</f>
        <v>0</v>
      </c>
      <c r="F29" s="24">
        <f ca="1">'241 (Ужур)'!F29+'241 (Солнечный)'!F29</f>
        <v>0</v>
      </c>
      <c r="G29" s="24">
        <f ca="1">'241 (Ужур)'!G29+'241 (Солнечный)'!G29</f>
        <v>0</v>
      </c>
      <c r="H29" s="24">
        <f ca="1">'241 (Ужур)'!H29+'241 (Солнечный)'!H29</f>
        <v>0</v>
      </c>
      <c r="I29" s="24">
        <f ca="1">'241 (Ужур)'!I29+'241 (Солнечный)'!I29</f>
        <v>0</v>
      </c>
      <c r="J29" s="24">
        <f ca="1">'241 (Ужур)'!J29+'241 (Солнечный)'!J29</f>
        <v>0</v>
      </c>
      <c r="K29" s="24">
        <f ca="1">'241 (Ужур)'!K29+'241 (Солнечный)'!K29</f>
        <v>0</v>
      </c>
      <c r="L29" s="24">
        <f ca="1">'241 (Ужур)'!L29+'241 (Солнечный)'!L29</f>
        <v>0</v>
      </c>
      <c r="M29" s="24">
        <f ca="1">'241 (Ужур)'!M29+'241 (Солнечный)'!M29</f>
        <v>0</v>
      </c>
      <c r="N29" s="24">
        <f ca="1">'241 (Ужур)'!N29+'241 (Солнечный)'!N29</f>
        <v>0</v>
      </c>
      <c r="O29" s="24">
        <f ca="1">'241 (Ужур)'!O29+'241 (Солнечный)'!O29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'241 (Ужур)'!D30+'241 (Солнечный)'!D30</f>
        <v>0</v>
      </c>
      <c r="E30" s="24">
        <f ca="1">'241 (Ужур)'!E30+'241 (Солнечный)'!E30</f>
        <v>0</v>
      </c>
      <c r="F30" s="24">
        <f ca="1">'241 (Ужур)'!F30+'241 (Солнечный)'!F30</f>
        <v>0</v>
      </c>
      <c r="G30" s="24">
        <f ca="1">'241 (Ужур)'!G30+'241 (Солнечный)'!G30</f>
        <v>0</v>
      </c>
      <c r="H30" s="24">
        <f ca="1">'241 (Ужур)'!H30+'241 (Солнечный)'!H30</f>
        <v>0</v>
      </c>
      <c r="I30" s="24">
        <f ca="1">'241 (Ужур)'!I30+'241 (Солнечный)'!I30</f>
        <v>0</v>
      </c>
      <c r="J30" s="24">
        <f ca="1">'241 (Ужур)'!J30+'241 (Солнечный)'!J30</f>
        <v>0</v>
      </c>
      <c r="K30" s="24">
        <f ca="1">'241 (Ужур)'!K30+'241 (Солнечный)'!K30</f>
        <v>0</v>
      </c>
      <c r="L30" s="24">
        <f ca="1">'241 (Ужур)'!L30+'241 (Солнечный)'!L30</f>
        <v>0</v>
      </c>
      <c r="M30" s="24">
        <f ca="1">'241 (Ужур)'!M30+'241 (Солнечный)'!M30</f>
        <v>0</v>
      </c>
      <c r="N30" s="24">
        <f ca="1">'241 (Ужур)'!N30+'241 (Солнечный)'!N30</f>
        <v>0</v>
      </c>
      <c r="O30" s="24">
        <f ca="1">'241 (Ужур)'!O30+'241 (Солнечный)'!O30</f>
        <v>0</v>
      </c>
    </row>
    <row r="31" spans="1:15">
      <c r="A31" s="27"/>
      <c r="B31" s="24"/>
      <c r="C31" s="33">
        <f>Справочник!J1</f>
        <v>2019</v>
      </c>
      <c r="D31" s="24">
        <f ca="1">'241 (Ужур)'!D31+'241 (Солнечный)'!D31</f>
        <v>0</v>
      </c>
      <c r="E31" s="24">
        <f ca="1">'241 (Ужур)'!E31+'241 (Солнечный)'!E31</f>
        <v>0</v>
      </c>
      <c r="F31" s="24">
        <f ca="1">'241 (Ужур)'!F31+'241 (Солнечный)'!F31</f>
        <v>0</v>
      </c>
      <c r="G31" s="24">
        <f ca="1">'241 (Ужур)'!G31+'241 (Солнечный)'!G31</f>
        <v>0</v>
      </c>
      <c r="H31" s="24">
        <f ca="1">'241 (Ужур)'!H31+'241 (Солнечный)'!H31</f>
        <v>0</v>
      </c>
      <c r="I31" s="24">
        <f ca="1">'241 (Ужур)'!I31+'241 (Солнечный)'!I31</f>
        <v>0</v>
      </c>
      <c r="J31" s="24">
        <f ca="1">'241 (Ужур)'!J31+'241 (Солнечный)'!J31</f>
        <v>0</v>
      </c>
      <c r="K31" s="24">
        <f ca="1">'241 (Ужур)'!K31+'241 (Солнечный)'!K31</f>
        <v>0</v>
      </c>
      <c r="L31" s="24">
        <f ca="1">'241 (Ужур)'!L31+'241 (Солнечный)'!L31</f>
        <v>0</v>
      </c>
      <c r="M31" s="24">
        <f ca="1">'241 (Ужур)'!M31+'241 (Солнечный)'!M31</f>
        <v>0</v>
      </c>
      <c r="N31" s="24">
        <f ca="1">'241 (Ужур)'!N31+'241 (Солнечный)'!N31</f>
        <v>0</v>
      </c>
      <c r="O31" s="24">
        <f ca="1">'241 (Ужур)'!O31+'241 (Солнечный)'!O31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'241 (Ужур)'!D32+'241 (Солнечный)'!D32</f>
        <v>0</v>
      </c>
      <c r="E32" s="24">
        <f ca="1">'241 (Ужур)'!E32+'241 (Солнечный)'!E32</f>
        <v>0</v>
      </c>
      <c r="F32" s="24">
        <f ca="1">'241 (Ужур)'!F32+'241 (Солнечный)'!F32</f>
        <v>0</v>
      </c>
      <c r="G32" s="24">
        <f ca="1">'241 (Ужур)'!G32+'241 (Солнечный)'!G32</f>
        <v>0</v>
      </c>
      <c r="H32" s="24">
        <f ca="1">'241 (Ужур)'!H32+'241 (Солнечный)'!H32</f>
        <v>0</v>
      </c>
      <c r="I32" s="24">
        <f ca="1">'241 (Ужур)'!I32+'241 (Солнечный)'!I32</f>
        <v>0</v>
      </c>
      <c r="J32" s="24">
        <f ca="1">'241 (Ужур)'!J32+'241 (Солнечный)'!J32</f>
        <v>0</v>
      </c>
      <c r="K32" s="24">
        <f ca="1">'241 (Ужур)'!K32+'241 (Солнечный)'!K32</f>
        <v>0</v>
      </c>
      <c r="L32" s="24">
        <f ca="1">'241 (Ужур)'!L32+'241 (Солнечный)'!L32</f>
        <v>0</v>
      </c>
      <c r="M32" s="24">
        <f ca="1">'241 (Ужур)'!M32+'241 (Солнечный)'!M32</f>
        <v>0</v>
      </c>
      <c r="N32" s="24">
        <f ca="1">'241 (Ужур)'!N32+'241 (Солнечный)'!N32</f>
        <v>0</v>
      </c>
      <c r="O32" s="24">
        <f ca="1">'241 (Ужур)'!O32+'241 (Солнечный)'!O32</f>
        <v>0</v>
      </c>
    </row>
    <row r="33" spans="1:15">
      <c r="A33" s="25"/>
      <c r="B33" s="24"/>
      <c r="C33" s="33">
        <f>Справочник!J1</f>
        <v>2019</v>
      </c>
      <c r="D33" s="24">
        <f ca="1">'241 (Ужур)'!D33+'241 (Солнечный)'!D33</f>
        <v>0</v>
      </c>
      <c r="E33" s="24">
        <f ca="1">'241 (Ужур)'!E33+'241 (Солнечный)'!E33</f>
        <v>0</v>
      </c>
      <c r="F33" s="24">
        <f ca="1">'241 (Ужур)'!F33+'241 (Солнечный)'!F33</f>
        <v>0</v>
      </c>
      <c r="G33" s="24">
        <f ca="1">'241 (Ужур)'!G33+'241 (Солнечный)'!G33</f>
        <v>0</v>
      </c>
      <c r="H33" s="24">
        <f ca="1">'241 (Ужур)'!H33+'241 (Солнечный)'!H33</f>
        <v>0</v>
      </c>
      <c r="I33" s="24">
        <f ca="1">'241 (Ужур)'!I33+'241 (Солнечный)'!I33</f>
        <v>0</v>
      </c>
      <c r="J33" s="24">
        <f ca="1">'241 (Ужур)'!J33+'241 (Солнечный)'!J33</f>
        <v>0</v>
      </c>
      <c r="K33" s="24">
        <f ca="1">'241 (Ужур)'!K33+'241 (Солнечный)'!K33</f>
        <v>0</v>
      </c>
      <c r="L33" s="24">
        <f ca="1">'241 (Ужур)'!L33+'241 (Солнечный)'!L33</f>
        <v>0</v>
      </c>
      <c r="M33" s="24">
        <f ca="1">'241 (Ужур)'!M33+'241 (Солнечный)'!M33</f>
        <v>0</v>
      </c>
      <c r="N33" s="24">
        <f ca="1">'241 (Ужур)'!N33+'241 (Солнечный)'!N33</f>
        <v>0</v>
      </c>
      <c r="O33" s="24">
        <f ca="1">'241 (Ужур)'!O33+'241 (Солнечный)'!O33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'241 (Ужур)'!D34+'241 (Солнечный)'!D34</f>
        <v>1</v>
      </c>
      <c r="E34" s="24">
        <f ca="1">'241 (Ужур)'!E34+'241 (Солнечный)'!E34</f>
        <v>0</v>
      </c>
      <c r="F34" s="24">
        <f ca="1">'241 (Ужур)'!F34+'241 (Солнечный)'!F34</f>
        <v>0</v>
      </c>
      <c r="G34" s="24">
        <f ca="1">'241 (Ужур)'!G34+'241 (Солнечный)'!G34</f>
        <v>0</v>
      </c>
      <c r="H34" s="24">
        <f ca="1">'241 (Ужур)'!H34+'241 (Солнечный)'!H34</f>
        <v>0</v>
      </c>
      <c r="I34" s="24">
        <f ca="1">'241 (Ужур)'!I34+'241 (Солнечный)'!I34</f>
        <v>0</v>
      </c>
      <c r="J34" s="24">
        <f ca="1">'241 (Ужур)'!J34+'241 (Солнечный)'!J34</f>
        <v>0</v>
      </c>
      <c r="K34" s="24">
        <f ca="1">'241 (Ужур)'!K34+'241 (Солнечный)'!K34</f>
        <v>0</v>
      </c>
      <c r="L34" s="24">
        <f ca="1">'241 (Ужур)'!L34+'241 (Солнечный)'!L34</f>
        <v>0</v>
      </c>
      <c r="M34" s="24">
        <f ca="1">'241 (Ужур)'!M34+'241 (Солнечный)'!M34</f>
        <v>0</v>
      </c>
      <c r="N34" s="24">
        <f ca="1">'241 (Ужур)'!N34+'241 (Солнечный)'!N34</f>
        <v>0</v>
      </c>
      <c r="O34" s="24">
        <f ca="1">'241 (Ужур)'!O34+'241 (Солнечный)'!O34</f>
        <v>0</v>
      </c>
    </row>
    <row r="35" spans="1:15">
      <c r="A35" s="27"/>
      <c r="B35" s="24"/>
      <c r="C35" s="33">
        <f>Справочник!J1</f>
        <v>2019</v>
      </c>
      <c r="D35" s="24">
        <f ca="1">'241 (Ужур)'!D35+'241 (Солнечный)'!D35</f>
        <v>2</v>
      </c>
      <c r="E35" s="24">
        <f ca="1">'241 (Ужур)'!E35+'241 (Солнечный)'!E35</f>
        <v>0</v>
      </c>
      <c r="F35" s="24">
        <f ca="1">'241 (Ужур)'!F35+'241 (Солнечный)'!F35</f>
        <v>0</v>
      </c>
      <c r="G35" s="24">
        <f ca="1">'241 (Ужур)'!G35+'241 (Солнечный)'!G35</f>
        <v>0</v>
      </c>
      <c r="H35" s="24">
        <f ca="1">'241 (Ужур)'!H35+'241 (Солнечный)'!H35</f>
        <v>0</v>
      </c>
      <c r="I35" s="24">
        <f ca="1">'241 (Ужур)'!I35+'241 (Солнечный)'!I35</f>
        <v>0</v>
      </c>
      <c r="J35" s="24">
        <f ca="1">'241 (Ужур)'!J35+'241 (Солнечный)'!J35</f>
        <v>0</v>
      </c>
      <c r="K35" s="24">
        <f ca="1">'241 (Ужур)'!K35+'241 (Солнечный)'!K35</f>
        <v>0</v>
      </c>
      <c r="L35" s="24">
        <f ca="1">'241 (Ужур)'!L35+'241 (Солнечный)'!L35</f>
        <v>0</v>
      </c>
      <c r="M35" s="24">
        <f ca="1">'241 (Ужур)'!M35+'241 (Солнечный)'!M35</f>
        <v>0</v>
      </c>
      <c r="N35" s="24">
        <f ca="1">'241 (Ужур)'!N35+'241 (Солнечный)'!N35</f>
        <v>0</v>
      </c>
      <c r="O35" s="24">
        <f ca="1">'241 (Ужур)'!O35+'241 (Солнечный)'!O35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'241 (Ужур)'!D36+'241 (Солнечный)'!D36</f>
        <v>38</v>
      </c>
      <c r="E36" s="24">
        <f ca="1">'241 (Ужур)'!E36+'241 (Солнечный)'!E36</f>
        <v>0</v>
      </c>
      <c r="F36" s="24">
        <f ca="1">'241 (Ужур)'!F36+'241 (Солнечный)'!F36</f>
        <v>0</v>
      </c>
      <c r="G36" s="24">
        <f ca="1">'241 (Ужур)'!G36+'241 (Солнечный)'!G36</f>
        <v>0</v>
      </c>
      <c r="H36" s="24">
        <f ca="1">'241 (Ужур)'!H36+'241 (Солнечный)'!H36</f>
        <v>0</v>
      </c>
      <c r="I36" s="24">
        <f ca="1">'241 (Ужур)'!I36+'241 (Солнечный)'!I36</f>
        <v>0</v>
      </c>
      <c r="J36" s="24">
        <f ca="1">'241 (Ужур)'!J36+'241 (Солнечный)'!J36</f>
        <v>0</v>
      </c>
      <c r="K36" s="24">
        <f ca="1">'241 (Ужур)'!K36+'241 (Солнечный)'!K36</f>
        <v>0</v>
      </c>
      <c r="L36" s="24">
        <f ca="1">'241 (Ужур)'!L36+'241 (Солнечный)'!L36</f>
        <v>0</v>
      </c>
      <c r="M36" s="24">
        <f ca="1">'241 (Ужур)'!M36+'241 (Солнечный)'!M36</f>
        <v>0</v>
      </c>
      <c r="N36" s="24">
        <f ca="1">'241 (Ужур)'!N36+'241 (Солнечный)'!N36</f>
        <v>0</v>
      </c>
      <c r="O36" s="24">
        <f ca="1">'241 (Ужур)'!O36+'241 (Солнечный)'!O36</f>
        <v>0</v>
      </c>
    </row>
    <row r="37" spans="1:15">
      <c r="A37" s="25"/>
      <c r="B37" s="24"/>
      <c r="C37" s="33">
        <f>Справочник!J1</f>
        <v>2019</v>
      </c>
      <c r="D37" s="24">
        <f ca="1">'241 (Ужур)'!D37+'241 (Солнечный)'!D37</f>
        <v>29</v>
      </c>
      <c r="E37" s="24">
        <f ca="1">'241 (Ужур)'!E37+'241 (Солнечный)'!E37</f>
        <v>0</v>
      </c>
      <c r="F37" s="24">
        <f ca="1">'241 (Ужур)'!F37+'241 (Солнечный)'!F37</f>
        <v>0</v>
      </c>
      <c r="G37" s="24">
        <f ca="1">'241 (Ужур)'!G37+'241 (Солнечный)'!G37</f>
        <v>0</v>
      </c>
      <c r="H37" s="24">
        <f ca="1">'241 (Ужур)'!H37+'241 (Солнечный)'!H37</f>
        <v>0</v>
      </c>
      <c r="I37" s="24">
        <f ca="1">'241 (Ужур)'!I37+'241 (Солнечный)'!I37</f>
        <v>0</v>
      </c>
      <c r="J37" s="24">
        <f ca="1">'241 (Ужур)'!J37+'241 (Солнечный)'!J37</f>
        <v>0</v>
      </c>
      <c r="K37" s="24">
        <f ca="1">'241 (Ужур)'!K37+'241 (Солнечный)'!K37</f>
        <v>0</v>
      </c>
      <c r="L37" s="24">
        <f ca="1">'241 (Ужур)'!L37+'241 (Солнечный)'!L37</f>
        <v>0</v>
      </c>
      <c r="M37" s="24">
        <f ca="1">'241 (Ужур)'!M37+'241 (Солнечный)'!M37</f>
        <v>0</v>
      </c>
      <c r="N37" s="24">
        <f ca="1">'241 (Ужур)'!N37+'241 (Солнечный)'!N37</f>
        <v>0</v>
      </c>
      <c r="O37" s="24">
        <f ca="1">'241 (Ужур)'!O37+'241 (Солнечный)'!O37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'241 (Ужур)'!D38+'241 (Солнечный)'!D38</f>
        <v>0</v>
      </c>
      <c r="E38" s="24">
        <f ca="1">'241 (Ужур)'!E38+'241 (Солнечный)'!E38</f>
        <v>0</v>
      </c>
      <c r="F38" s="24">
        <f ca="1">'241 (Ужур)'!F38+'241 (Солнечный)'!F38</f>
        <v>0</v>
      </c>
      <c r="G38" s="24">
        <f ca="1">'241 (Ужур)'!G38+'241 (Солнечный)'!G38</f>
        <v>0</v>
      </c>
      <c r="H38" s="24">
        <f ca="1">'241 (Ужур)'!H38+'241 (Солнечный)'!H38</f>
        <v>0</v>
      </c>
      <c r="I38" s="24">
        <f ca="1">'241 (Ужур)'!I38+'241 (Солнечный)'!I38</f>
        <v>0</v>
      </c>
      <c r="J38" s="24">
        <f ca="1">'241 (Ужур)'!J38+'241 (Солнечный)'!J38</f>
        <v>0</v>
      </c>
      <c r="K38" s="24">
        <f ca="1">'241 (Ужур)'!K38+'241 (Солнечный)'!K38</f>
        <v>0</v>
      </c>
      <c r="L38" s="24">
        <f ca="1">'241 (Ужур)'!L38+'241 (Солнечный)'!L38</f>
        <v>0</v>
      </c>
      <c r="M38" s="24">
        <f ca="1">'241 (Ужур)'!M38+'241 (Солнечный)'!M38</f>
        <v>0</v>
      </c>
      <c r="N38" s="24">
        <f ca="1">'241 (Ужур)'!N38+'241 (Солнечный)'!N38</f>
        <v>0</v>
      </c>
      <c r="O38" s="24">
        <f ca="1">'241 (Ужур)'!O38+'241 (Солнечный)'!O38</f>
        <v>0</v>
      </c>
    </row>
    <row r="39" spans="1:15">
      <c r="A39" s="25"/>
      <c r="B39" s="24"/>
      <c r="C39" s="33">
        <f>Справочник!J1</f>
        <v>2019</v>
      </c>
      <c r="D39" s="24">
        <f ca="1">'241 (Ужур)'!D39+'241 (Солнечный)'!D39</f>
        <v>0</v>
      </c>
      <c r="E39" s="24">
        <f ca="1">'241 (Ужур)'!E39+'241 (Солнечный)'!E39</f>
        <v>0</v>
      </c>
      <c r="F39" s="24">
        <f ca="1">'241 (Ужур)'!F39+'241 (Солнечный)'!F39</f>
        <v>0</v>
      </c>
      <c r="G39" s="24">
        <f ca="1">'241 (Ужур)'!G39+'241 (Солнечный)'!G39</f>
        <v>0</v>
      </c>
      <c r="H39" s="24">
        <f ca="1">'241 (Ужур)'!H39+'241 (Солнечный)'!H39</f>
        <v>0</v>
      </c>
      <c r="I39" s="24">
        <f ca="1">'241 (Ужур)'!I39+'241 (Солнечный)'!I39</f>
        <v>0</v>
      </c>
      <c r="J39" s="24">
        <f ca="1">'241 (Ужур)'!J39+'241 (Солнечный)'!J39</f>
        <v>0</v>
      </c>
      <c r="K39" s="24">
        <f ca="1">'241 (Ужур)'!K39+'241 (Солнечный)'!K39</f>
        <v>0</v>
      </c>
      <c r="L39" s="24">
        <f ca="1">'241 (Ужур)'!L39+'241 (Солнечный)'!L39</f>
        <v>0</v>
      </c>
      <c r="M39" s="24">
        <f ca="1">'241 (Ужур)'!M39+'241 (Солнечный)'!M39</f>
        <v>0</v>
      </c>
      <c r="N39" s="24">
        <f ca="1">'241 (Ужур)'!N39+'241 (Солнечный)'!N39</f>
        <v>0</v>
      </c>
      <c r="O39" s="24">
        <f ca="1">'241 (Ужур)'!O39+'241 (Солнечный)'!O39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'241 (Ужур)'!D40+'241 (Солнечный)'!D40</f>
        <v>20</v>
      </c>
      <c r="E40" s="24">
        <f ca="1">'241 (Ужур)'!E40+'241 (Солнечный)'!E40</f>
        <v>0</v>
      </c>
      <c r="F40" s="24">
        <f ca="1">'241 (Ужур)'!F40+'241 (Солнечный)'!F40</f>
        <v>0</v>
      </c>
      <c r="G40" s="24">
        <f ca="1">'241 (Ужур)'!G40+'241 (Солнечный)'!G40</f>
        <v>0</v>
      </c>
      <c r="H40" s="24">
        <f ca="1">'241 (Ужур)'!H40+'241 (Солнечный)'!H40</f>
        <v>0</v>
      </c>
      <c r="I40" s="24">
        <f ca="1">'241 (Ужур)'!I40+'241 (Солнечный)'!I40</f>
        <v>0</v>
      </c>
      <c r="J40" s="24">
        <f ca="1">'241 (Ужур)'!J40+'241 (Солнечный)'!J40</f>
        <v>0</v>
      </c>
      <c r="K40" s="24">
        <f ca="1">'241 (Ужур)'!K40+'241 (Солнечный)'!K40</f>
        <v>0</v>
      </c>
      <c r="L40" s="24">
        <f ca="1">'241 (Ужур)'!L40+'241 (Солнечный)'!L40</f>
        <v>0</v>
      </c>
      <c r="M40" s="24">
        <f ca="1">'241 (Ужур)'!M40+'241 (Солнечный)'!M40</f>
        <v>0</v>
      </c>
      <c r="N40" s="24">
        <f ca="1">'241 (Ужур)'!N40+'241 (Солнечный)'!N40</f>
        <v>0</v>
      </c>
      <c r="O40" s="24">
        <f ca="1">'241 (Ужур)'!O40+'241 (Солнечный)'!O40</f>
        <v>0</v>
      </c>
    </row>
    <row r="41" spans="1:15">
      <c r="A41" s="25"/>
      <c r="B41" s="24"/>
      <c r="C41" s="33">
        <f>Справочник!J1</f>
        <v>2019</v>
      </c>
      <c r="D41" s="24">
        <f ca="1">'241 (Ужур)'!D41+'241 (Солнечный)'!D41</f>
        <v>16</v>
      </c>
      <c r="E41" s="24">
        <f ca="1">'241 (Ужур)'!E41+'241 (Солнечный)'!E41</f>
        <v>0</v>
      </c>
      <c r="F41" s="24">
        <f ca="1">'241 (Ужур)'!F41+'241 (Солнечный)'!F41</f>
        <v>0</v>
      </c>
      <c r="G41" s="24">
        <f ca="1">'241 (Ужур)'!G41+'241 (Солнечный)'!G41</f>
        <v>0</v>
      </c>
      <c r="H41" s="24">
        <f ca="1">'241 (Ужур)'!H41+'241 (Солнечный)'!H41</f>
        <v>0</v>
      </c>
      <c r="I41" s="24">
        <f ca="1">'241 (Ужур)'!I41+'241 (Солнечный)'!I41</f>
        <v>0</v>
      </c>
      <c r="J41" s="24">
        <f ca="1">'241 (Ужур)'!J41+'241 (Солнечный)'!J41</f>
        <v>0</v>
      </c>
      <c r="K41" s="24">
        <f ca="1">'241 (Ужур)'!K41+'241 (Солнечный)'!K41</f>
        <v>0</v>
      </c>
      <c r="L41" s="24">
        <f ca="1">'241 (Ужур)'!L41+'241 (Солнечный)'!L41</f>
        <v>0</v>
      </c>
      <c r="M41" s="24">
        <f ca="1">'241 (Ужур)'!M41+'241 (Солнечный)'!M41</f>
        <v>0</v>
      </c>
      <c r="N41" s="24">
        <f ca="1">'241 (Ужур)'!N41+'241 (Солнечный)'!N41</f>
        <v>0</v>
      </c>
      <c r="O41" s="24">
        <f ca="1">'241 (Ужур)'!O41+'241 (Солнечный)'!O41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'241 (Ужур)'!D42+'241 (Солнечный)'!D42</f>
        <v>26</v>
      </c>
      <c r="E42" s="24">
        <f ca="1">'241 (Ужур)'!E42+'241 (Солнечный)'!E42</f>
        <v>0</v>
      </c>
      <c r="F42" s="24">
        <f ca="1">'241 (Ужур)'!F42+'241 (Солнечный)'!F42</f>
        <v>0</v>
      </c>
      <c r="G42" s="24">
        <f ca="1">'241 (Ужур)'!G42+'241 (Солнечный)'!G42</f>
        <v>0</v>
      </c>
      <c r="H42" s="24">
        <f ca="1">'241 (Ужур)'!H42+'241 (Солнечный)'!H42</f>
        <v>0</v>
      </c>
      <c r="I42" s="24">
        <f ca="1">'241 (Ужур)'!I42+'241 (Солнечный)'!I42</f>
        <v>0</v>
      </c>
      <c r="J42" s="24">
        <f ca="1">'241 (Ужур)'!J42+'241 (Солнечный)'!J42</f>
        <v>0</v>
      </c>
      <c r="K42" s="24">
        <f ca="1">'241 (Ужур)'!K42+'241 (Солнечный)'!K42</f>
        <v>0</v>
      </c>
      <c r="L42" s="24">
        <f ca="1">'241 (Ужур)'!L42+'241 (Солнечный)'!L42</f>
        <v>0</v>
      </c>
      <c r="M42" s="24">
        <f ca="1">'241 (Ужур)'!M42+'241 (Солнечный)'!M42</f>
        <v>0</v>
      </c>
      <c r="N42" s="24">
        <f ca="1">'241 (Ужур)'!N42+'241 (Солнечный)'!N42</f>
        <v>0</v>
      </c>
      <c r="O42" s="24">
        <f ca="1">'241 (Ужур)'!O42+'241 (Солнечный)'!O42</f>
        <v>0</v>
      </c>
    </row>
    <row r="43" spans="1:15">
      <c r="A43" s="25"/>
      <c r="B43" s="24"/>
      <c r="C43" s="33">
        <f>Справочник!J1</f>
        <v>2019</v>
      </c>
      <c r="D43" s="24">
        <f ca="1">'241 (Ужур)'!D43+'241 (Солнечный)'!D43</f>
        <v>23</v>
      </c>
      <c r="E43" s="24">
        <f ca="1">'241 (Ужур)'!E43+'241 (Солнечный)'!E43</f>
        <v>0</v>
      </c>
      <c r="F43" s="24">
        <f ca="1">'241 (Ужур)'!F43+'241 (Солнечный)'!F43</f>
        <v>0</v>
      </c>
      <c r="G43" s="24">
        <f ca="1">'241 (Ужур)'!G43+'241 (Солнечный)'!G43</f>
        <v>0</v>
      </c>
      <c r="H43" s="24">
        <f ca="1">'241 (Ужур)'!H43+'241 (Солнечный)'!H43</f>
        <v>0</v>
      </c>
      <c r="I43" s="24">
        <f ca="1">'241 (Ужур)'!I43+'241 (Солнечный)'!I43</f>
        <v>0</v>
      </c>
      <c r="J43" s="24">
        <f ca="1">'241 (Ужур)'!J43+'241 (Солнечный)'!J43</f>
        <v>0</v>
      </c>
      <c r="K43" s="24">
        <f ca="1">'241 (Ужур)'!K43+'241 (Солнечный)'!K43</f>
        <v>0</v>
      </c>
      <c r="L43" s="24">
        <f ca="1">'241 (Ужур)'!L43+'241 (Солнечный)'!L43</f>
        <v>0</v>
      </c>
      <c r="M43" s="24">
        <f ca="1">'241 (Ужур)'!M43+'241 (Солнечный)'!M43</f>
        <v>0</v>
      </c>
      <c r="N43" s="24">
        <f ca="1">'241 (Ужур)'!N43+'241 (Солнечный)'!N43</f>
        <v>0</v>
      </c>
      <c r="O43" s="24">
        <f ca="1">'241 (Ужур)'!O43+'241 (Солнечный)'!O43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'241 (Ужур)'!D44+'241 (Солнечный)'!D44</f>
        <v>1</v>
      </c>
      <c r="E44" s="24">
        <f ca="1">'241 (Ужур)'!E44+'241 (Солнечный)'!E44</f>
        <v>0</v>
      </c>
      <c r="F44" s="24">
        <f ca="1">'241 (Ужур)'!F44+'241 (Солнечный)'!F44</f>
        <v>0</v>
      </c>
      <c r="G44" s="24">
        <f ca="1">'241 (Ужур)'!G44+'241 (Солнечный)'!G44</f>
        <v>0</v>
      </c>
      <c r="H44" s="24">
        <f ca="1">'241 (Ужур)'!H44+'241 (Солнечный)'!H44</f>
        <v>0</v>
      </c>
      <c r="I44" s="24">
        <f ca="1">'241 (Ужур)'!I44+'241 (Солнечный)'!I44</f>
        <v>0</v>
      </c>
      <c r="J44" s="24">
        <f ca="1">'241 (Ужур)'!J44+'241 (Солнечный)'!J44</f>
        <v>0</v>
      </c>
      <c r="K44" s="24">
        <f ca="1">'241 (Ужур)'!K44+'241 (Солнечный)'!K44</f>
        <v>0</v>
      </c>
      <c r="L44" s="24">
        <f ca="1">'241 (Ужур)'!L44+'241 (Солнечный)'!L44</f>
        <v>0</v>
      </c>
      <c r="M44" s="24">
        <f ca="1">'241 (Ужур)'!M44+'241 (Солнечный)'!M44</f>
        <v>0</v>
      </c>
      <c r="N44" s="24">
        <f ca="1">'241 (Ужур)'!N44+'241 (Солнечный)'!N44</f>
        <v>0</v>
      </c>
      <c r="O44" s="24">
        <f ca="1">'241 (Ужур)'!O44+'241 (Солнечный)'!O44</f>
        <v>0</v>
      </c>
    </row>
    <row r="45" spans="1:15">
      <c r="A45" s="25"/>
      <c r="B45" s="24"/>
      <c r="C45" s="33">
        <f>Справочник!J1</f>
        <v>2019</v>
      </c>
      <c r="D45" s="24">
        <f ca="1">'241 (Ужур)'!D45+'241 (Солнечный)'!D45</f>
        <v>0</v>
      </c>
      <c r="E45" s="24">
        <f ca="1">'241 (Ужур)'!E45+'241 (Солнечный)'!E45</f>
        <v>0</v>
      </c>
      <c r="F45" s="24">
        <f ca="1">'241 (Ужур)'!F45+'241 (Солнечный)'!F45</f>
        <v>0</v>
      </c>
      <c r="G45" s="24">
        <f ca="1">'241 (Ужур)'!G45+'241 (Солнечный)'!G45</f>
        <v>0</v>
      </c>
      <c r="H45" s="24">
        <f ca="1">'241 (Ужур)'!H45+'241 (Солнечный)'!H45</f>
        <v>0</v>
      </c>
      <c r="I45" s="24">
        <f ca="1">'241 (Ужур)'!I45+'241 (Солнечный)'!I45</f>
        <v>0</v>
      </c>
      <c r="J45" s="24">
        <f ca="1">'241 (Ужур)'!J45+'241 (Солнечный)'!J45</f>
        <v>0</v>
      </c>
      <c r="K45" s="24">
        <f ca="1">'241 (Ужур)'!K45+'241 (Солнечный)'!K45</f>
        <v>0</v>
      </c>
      <c r="L45" s="24">
        <f ca="1">'241 (Ужур)'!L45+'241 (Солнечный)'!L45</f>
        <v>0</v>
      </c>
      <c r="M45" s="24">
        <f ca="1">'241 (Ужур)'!M45+'241 (Солнечный)'!M45</f>
        <v>0</v>
      </c>
      <c r="N45" s="24">
        <f ca="1">'241 (Ужур)'!N45+'241 (Солнечный)'!N45</f>
        <v>0</v>
      </c>
      <c r="O45" s="24">
        <f ca="1">'241 (Ужур)'!O45+'241 (Солнечный)'!O45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'241 (Ужур)'!D46+'241 (Солнечный)'!D46</f>
        <v>0</v>
      </c>
      <c r="E46" s="24">
        <f ca="1">'241 (Ужур)'!E46+'241 (Солнечный)'!E46</f>
        <v>0</v>
      </c>
      <c r="F46" s="24">
        <f ca="1">'241 (Ужур)'!F46+'241 (Солнечный)'!F46</f>
        <v>0</v>
      </c>
      <c r="G46" s="24">
        <f ca="1">'241 (Ужур)'!G46+'241 (Солнечный)'!G46</f>
        <v>0</v>
      </c>
      <c r="H46" s="24">
        <f ca="1">'241 (Ужур)'!H46+'241 (Солнечный)'!H46</f>
        <v>0</v>
      </c>
      <c r="I46" s="24">
        <f ca="1">'241 (Ужур)'!I46+'241 (Солнечный)'!I46</f>
        <v>0</v>
      </c>
      <c r="J46" s="24">
        <f ca="1">'241 (Ужур)'!J46+'241 (Солнечный)'!J46</f>
        <v>0</v>
      </c>
      <c r="K46" s="24">
        <f ca="1">'241 (Ужур)'!K46+'241 (Солнечный)'!K46</f>
        <v>0</v>
      </c>
      <c r="L46" s="24">
        <f ca="1">'241 (Ужур)'!L46+'241 (Солнечный)'!L46</f>
        <v>0</v>
      </c>
      <c r="M46" s="24">
        <f ca="1">'241 (Ужур)'!M46+'241 (Солнечный)'!M46</f>
        <v>0</v>
      </c>
      <c r="N46" s="24">
        <f ca="1">'241 (Ужур)'!N46+'241 (Солнечный)'!N46</f>
        <v>0</v>
      </c>
      <c r="O46" s="24">
        <f ca="1">'241 (Ужур)'!O46+'241 (Солнечный)'!O46</f>
        <v>0</v>
      </c>
    </row>
    <row r="47" spans="1:15">
      <c r="A47" s="25"/>
      <c r="B47" s="24"/>
      <c r="C47" s="33">
        <f>Справочник!J1</f>
        <v>2019</v>
      </c>
      <c r="D47" s="24">
        <f ca="1">'241 (Ужур)'!D47+'241 (Солнечный)'!D47</f>
        <v>0</v>
      </c>
      <c r="E47" s="24">
        <f ca="1">'241 (Ужур)'!E47+'241 (Солнечный)'!E47</f>
        <v>0</v>
      </c>
      <c r="F47" s="24">
        <f ca="1">'241 (Ужур)'!F47+'241 (Солнечный)'!F47</f>
        <v>0</v>
      </c>
      <c r="G47" s="24">
        <f ca="1">'241 (Ужур)'!G47+'241 (Солнечный)'!G47</f>
        <v>0</v>
      </c>
      <c r="H47" s="24">
        <f ca="1">'241 (Ужур)'!H47+'241 (Солнечный)'!H47</f>
        <v>0</v>
      </c>
      <c r="I47" s="24">
        <f ca="1">'241 (Ужур)'!I47+'241 (Солнечный)'!I47</f>
        <v>0</v>
      </c>
      <c r="J47" s="24">
        <f ca="1">'241 (Ужур)'!J47+'241 (Солнечный)'!J47</f>
        <v>0</v>
      </c>
      <c r="K47" s="24">
        <f ca="1">'241 (Ужур)'!K47+'241 (Солнечный)'!K47</f>
        <v>0</v>
      </c>
      <c r="L47" s="24">
        <f ca="1">'241 (Ужур)'!L47+'241 (Солнечный)'!L47</f>
        <v>0</v>
      </c>
      <c r="M47" s="24">
        <f ca="1">'241 (Ужур)'!M47+'241 (Солнечный)'!M47</f>
        <v>0</v>
      </c>
      <c r="N47" s="24">
        <f ca="1">'241 (Ужур)'!N47+'241 (Солнечный)'!N47</f>
        <v>0</v>
      </c>
      <c r="O47" s="24">
        <f ca="1">'241 (Ужур)'!O47+'241 (Солнечный)'!O47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'241 (Ужур)'!D48+'241 (Солнечный)'!D48</f>
        <v>27</v>
      </c>
      <c r="E48" s="24">
        <f ca="1">'241 (Ужур)'!E48+'241 (Солнечный)'!E48</f>
        <v>0</v>
      </c>
      <c r="F48" s="24">
        <f ca="1">'241 (Ужур)'!F48+'241 (Солнечный)'!F48</f>
        <v>0</v>
      </c>
      <c r="G48" s="24">
        <f ca="1">'241 (Ужур)'!G48+'241 (Солнечный)'!G48</f>
        <v>0</v>
      </c>
      <c r="H48" s="24">
        <f ca="1">'241 (Ужур)'!H48+'241 (Солнечный)'!H48</f>
        <v>0</v>
      </c>
      <c r="I48" s="24">
        <f ca="1">'241 (Ужур)'!I48+'241 (Солнечный)'!I48</f>
        <v>0</v>
      </c>
      <c r="J48" s="24">
        <f ca="1">'241 (Ужур)'!J48+'241 (Солнечный)'!J48</f>
        <v>0</v>
      </c>
      <c r="K48" s="24">
        <f ca="1">'241 (Ужур)'!K48+'241 (Солнечный)'!K48</f>
        <v>0</v>
      </c>
      <c r="L48" s="24">
        <f ca="1">'241 (Ужур)'!L48+'241 (Солнечный)'!L48</f>
        <v>0</v>
      </c>
      <c r="M48" s="24">
        <f ca="1">'241 (Ужур)'!M48+'241 (Солнечный)'!M48</f>
        <v>0</v>
      </c>
      <c r="N48" s="24">
        <f ca="1">'241 (Ужур)'!N48+'241 (Солнечный)'!N48</f>
        <v>0</v>
      </c>
      <c r="O48" s="24">
        <f ca="1">'241 (Ужур)'!O48+'241 (Солнечный)'!O48</f>
        <v>0</v>
      </c>
    </row>
    <row r="49" spans="1:15">
      <c r="A49" s="27"/>
      <c r="B49" s="24"/>
      <c r="C49" s="33">
        <f>Справочник!J1</f>
        <v>2019</v>
      </c>
      <c r="D49" s="24">
        <f ca="1">'241 (Ужур)'!D49+'241 (Солнечный)'!D49</f>
        <v>24</v>
      </c>
      <c r="E49" s="24">
        <f ca="1">'241 (Ужур)'!E49+'241 (Солнечный)'!E49</f>
        <v>0</v>
      </c>
      <c r="F49" s="24">
        <f ca="1">'241 (Ужур)'!F49+'241 (Солнечный)'!F49</f>
        <v>0</v>
      </c>
      <c r="G49" s="24">
        <f ca="1">'241 (Ужур)'!G49+'241 (Солнечный)'!G49</f>
        <v>0</v>
      </c>
      <c r="H49" s="24">
        <f ca="1">'241 (Ужур)'!H49+'241 (Солнечный)'!H49</f>
        <v>0</v>
      </c>
      <c r="I49" s="24">
        <f ca="1">'241 (Ужур)'!I49+'241 (Солнечный)'!I49</f>
        <v>0</v>
      </c>
      <c r="J49" s="24">
        <f ca="1">'241 (Ужур)'!J49+'241 (Солнечный)'!J49</f>
        <v>0</v>
      </c>
      <c r="K49" s="24">
        <f ca="1">'241 (Ужур)'!K49+'241 (Солнечный)'!K49</f>
        <v>0</v>
      </c>
      <c r="L49" s="24">
        <f ca="1">'241 (Ужур)'!L49+'241 (Солнечный)'!L49</f>
        <v>0</v>
      </c>
      <c r="M49" s="24">
        <f ca="1">'241 (Ужур)'!M49+'241 (Солнечный)'!M49</f>
        <v>0</v>
      </c>
      <c r="N49" s="24">
        <f ca="1">'241 (Ужур)'!N49+'241 (Солнечный)'!N49</f>
        <v>0</v>
      </c>
      <c r="O49" s="24">
        <f ca="1">'241 (Ужур)'!O49+'241 (Солнечный)'!O49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'241 (Ужур)'!D50+'241 (Солнечный)'!D50</f>
        <v>19</v>
      </c>
      <c r="E50" s="24">
        <f ca="1">'241 (Ужур)'!E50+'241 (Солнечный)'!E50</f>
        <v>0</v>
      </c>
      <c r="F50" s="24">
        <f ca="1">'241 (Ужур)'!F50+'241 (Солнечный)'!F50</f>
        <v>0</v>
      </c>
      <c r="G50" s="24">
        <f ca="1">'241 (Ужур)'!G50+'241 (Солнечный)'!G50</f>
        <v>0</v>
      </c>
      <c r="H50" s="24">
        <f ca="1">'241 (Ужур)'!H50+'241 (Солнечный)'!H50</f>
        <v>0</v>
      </c>
      <c r="I50" s="24">
        <f ca="1">'241 (Ужур)'!I50+'241 (Солнечный)'!I50</f>
        <v>0</v>
      </c>
      <c r="J50" s="24">
        <f ca="1">'241 (Ужур)'!J50+'241 (Солнечный)'!J50</f>
        <v>0</v>
      </c>
      <c r="K50" s="24">
        <f ca="1">'241 (Ужур)'!K50+'241 (Солнечный)'!K50</f>
        <v>0</v>
      </c>
      <c r="L50" s="24">
        <f ca="1">'241 (Ужур)'!L50+'241 (Солнечный)'!L50</f>
        <v>0</v>
      </c>
      <c r="M50" s="24">
        <f ca="1">'241 (Ужур)'!M50+'241 (Солнечный)'!M50</f>
        <v>0</v>
      </c>
      <c r="N50" s="24">
        <f ca="1">'241 (Ужур)'!N50+'241 (Солнечный)'!N50</f>
        <v>0</v>
      </c>
      <c r="O50" s="24">
        <f ca="1">'241 (Ужур)'!O50+'241 (Солнечный)'!O50</f>
        <v>0</v>
      </c>
    </row>
    <row r="51" spans="1:15">
      <c r="A51" s="27"/>
      <c r="B51" s="24"/>
      <c r="C51" s="33">
        <f>Справочник!J1</f>
        <v>2019</v>
      </c>
      <c r="D51" s="24">
        <f ca="1">'241 (Ужур)'!D51+'241 (Солнечный)'!D51</f>
        <v>14</v>
      </c>
      <c r="E51" s="24">
        <f ca="1">'241 (Ужур)'!E51+'241 (Солнечный)'!E51</f>
        <v>0</v>
      </c>
      <c r="F51" s="24">
        <f ca="1">'241 (Ужур)'!F51+'241 (Солнечный)'!F51</f>
        <v>0</v>
      </c>
      <c r="G51" s="24">
        <f ca="1">'241 (Ужур)'!G51+'241 (Солнечный)'!G51</f>
        <v>0</v>
      </c>
      <c r="H51" s="24">
        <f ca="1">'241 (Ужур)'!H51+'241 (Солнечный)'!H51</f>
        <v>0</v>
      </c>
      <c r="I51" s="24">
        <f ca="1">'241 (Ужур)'!I51+'241 (Солнечный)'!I51</f>
        <v>0</v>
      </c>
      <c r="J51" s="24">
        <f ca="1">'241 (Ужур)'!J51+'241 (Солнечный)'!J51</f>
        <v>0</v>
      </c>
      <c r="K51" s="24">
        <f ca="1">'241 (Ужур)'!K51+'241 (Солнечный)'!K51</f>
        <v>0</v>
      </c>
      <c r="L51" s="24">
        <f ca="1">'241 (Ужур)'!L51+'241 (Солнечный)'!L51</f>
        <v>0</v>
      </c>
      <c r="M51" s="24">
        <f ca="1">'241 (Ужур)'!M51+'241 (Солнечный)'!M51</f>
        <v>0</v>
      </c>
      <c r="N51" s="24">
        <f ca="1">'241 (Ужур)'!N51+'241 (Солнечный)'!N51</f>
        <v>0</v>
      </c>
      <c r="O51" s="24">
        <f ca="1">'241 (Ужур)'!O51+'241 (Солнечный)'!O51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'241 (Ужур)'!D52+'241 (Солнечный)'!D52</f>
        <v>11</v>
      </c>
      <c r="E52" s="24">
        <f ca="1">'241 (Ужур)'!E52+'241 (Солнечный)'!E52</f>
        <v>0</v>
      </c>
      <c r="F52" s="24">
        <f ca="1">'241 (Ужур)'!F52+'241 (Солнечный)'!F52</f>
        <v>0</v>
      </c>
      <c r="G52" s="24">
        <f ca="1">'241 (Ужур)'!G52+'241 (Солнечный)'!G52</f>
        <v>0</v>
      </c>
      <c r="H52" s="24">
        <f ca="1">'241 (Ужур)'!H52+'241 (Солнечный)'!H52</f>
        <v>0</v>
      </c>
      <c r="I52" s="24">
        <f ca="1">'241 (Ужур)'!I52+'241 (Солнечный)'!I52</f>
        <v>0</v>
      </c>
      <c r="J52" s="24">
        <f ca="1">'241 (Ужур)'!J52+'241 (Солнечный)'!J52</f>
        <v>0</v>
      </c>
      <c r="K52" s="24">
        <f ca="1">'241 (Ужур)'!K52+'241 (Солнечный)'!K52</f>
        <v>0</v>
      </c>
      <c r="L52" s="24">
        <f ca="1">'241 (Ужур)'!L52+'241 (Солнечный)'!L52</f>
        <v>0</v>
      </c>
      <c r="M52" s="24">
        <f ca="1">'241 (Ужур)'!M52+'241 (Солнечный)'!M52</f>
        <v>0</v>
      </c>
      <c r="N52" s="24">
        <f ca="1">'241 (Ужур)'!N52+'241 (Солнечный)'!N52</f>
        <v>0</v>
      </c>
      <c r="O52" s="24">
        <f ca="1">'241 (Ужур)'!O52+'241 (Солнечный)'!O52</f>
        <v>0</v>
      </c>
    </row>
    <row r="53" spans="1:15">
      <c r="A53" s="27"/>
      <c r="B53" s="24"/>
      <c r="C53" s="33">
        <f>Справочник!J1</f>
        <v>2019</v>
      </c>
      <c r="D53" s="24">
        <f ca="1">'241 (Ужур)'!D53+'241 (Солнечный)'!D53</f>
        <v>7</v>
      </c>
      <c r="E53" s="24">
        <f ca="1">'241 (Ужур)'!E53+'241 (Солнечный)'!E53</f>
        <v>0</v>
      </c>
      <c r="F53" s="24">
        <f ca="1">'241 (Ужур)'!F53+'241 (Солнечный)'!F53</f>
        <v>0</v>
      </c>
      <c r="G53" s="24">
        <f ca="1">'241 (Ужур)'!G53+'241 (Солнечный)'!G53</f>
        <v>0</v>
      </c>
      <c r="H53" s="24">
        <f ca="1">'241 (Ужур)'!H53+'241 (Солнечный)'!H53</f>
        <v>0</v>
      </c>
      <c r="I53" s="24">
        <f ca="1">'241 (Ужур)'!I53+'241 (Солнечный)'!I53</f>
        <v>0</v>
      </c>
      <c r="J53" s="24">
        <f ca="1">'241 (Ужур)'!J53+'241 (Солнечный)'!J53</f>
        <v>0</v>
      </c>
      <c r="K53" s="24">
        <f ca="1">'241 (Ужур)'!K53+'241 (Солнечный)'!K53</f>
        <v>0</v>
      </c>
      <c r="L53" s="24">
        <f ca="1">'241 (Ужур)'!L53+'241 (Солнечный)'!L53</f>
        <v>0</v>
      </c>
      <c r="M53" s="24">
        <f ca="1">'241 (Ужур)'!M53+'241 (Солнечный)'!M53</f>
        <v>0</v>
      </c>
      <c r="N53" s="24">
        <f ca="1">'241 (Ужур)'!N53+'241 (Солнечный)'!N53</f>
        <v>0</v>
      </c>
      <c r="O53" s="24">
        <f ca="1">'241 (Ужур)'!O53+'241 (Солнечный)'!O53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'241 (Ужур)'!D54+'241 (Солнечный)'!D54</f>
        <v>0</v>
      </c>
      <c r="E54" s="24">
        <f ca="1">'241 (Ужур)'!E54+'241 (Солнечный)'!E54</f>
        <v>0</v>
      </c>
      <c r="F54" s="24">
        <f ca="1">'241 (Ужур)'!F54+'241 (Солнечный)'!F54</f>
        <v>0</v>
      </c>
      <c r="G54" s="24">
        <f ca="1">'241 (Ужур)'!G54+'241 (Солнечный)'!G54</f>
        <v>0</v>
      </c>
      <c r="H54" s="24">
        <f ca="1">'241 (Ужур)'!H54+'241 (Солнечный)'!H54</f>
        <v>0</v>
      </c>
      <c r="I54" s="24">
        <f ca="1">'241 (Ужур)'!I54+'241 (Солнечный)'!I54</f>
        <v>0</v>
      </c>
      <c r="J54" s="24">
        <f ca="1">'241 (Ужур)'!J54+'241 (Солнечный)'!J54</f>
        <v>0</v>
      </c>
      <c r="K54" s="24">
        <f ca="1">'241 (Ужур)'!K54+'241 (Солнечный)'!K54</f>
        <v>0</v>
      </c>
      <c r="L54" s="24">
        <f ca="1">'241 (Ужур)'!L54+'241 (Солнечный)'!L54</f>
        <v>0</v>
      </c>
      <c r="M54" s="24">
        <f ca="1">'241 (Ужур)'!M54+'241 (Солнечный)'!M54</f>
        <v>0</v>
      </c>
      <c r="N54" s="24">
        <f ca="1">'241 (Ужур)'!N54+'241 (Солнечный)'!N54</f>
        <v>0</v>
      </c>
      <c r="O54" s="24">
        <f ca="1">'241 (Ужур)'!O54+'241 (Солнечный)'!O54</f>
        <v>0</v>
      </c>
    </row>
    <row r="55" spans="1:15">
      <c r="A55" s="27"/>
      <c r="B55" s="24"/>
      <c r="C55" s="33">
        <f>Справочник!J1</f>
        <v>2019</v>
      </c>
      <c r="D55" s="24">
        <f ca="1">'241 (Ужур)'!D55+'241 (Солнечный)'!D55</f>
        <v>1</v>
      </c>
      <c r="E55" s="24">
        <f ca="1">'241 (Ужур)'!E55+'241 (Солнечный)'!E55</f>
        <v>0</v>
      </c>
      <c r="F55" s="24">
        <f ca="1">'241 (Ужур)'!F55+'241 (Солнечный)'!F55</f>
        <v>0</v>
      </c>
      <c r="G55" s="24">
        <f ca="1">'241 (Ужур)'!G55+'241 (Солнечный)'!G55</f>
        <v>0</v>
      </c>
      <c r="H55" s="24">
        <f ca="1">'241 (Ужур)'!H55+'241 (Солнечный)'!H55</f>
        <v>0</v>
      </c>
      <c r="I55" s="24">
        <f ca="1">'241 (Ужур)'!I55+'241 (Солнечный)'!I55</f>
        <v>0</v>
      </c>
      <c r="J55" s="24">
        <f ca="1">'241 (Ужур)'!J55+'241 (Солнечный)'!J55</f>
        <v>0</v>
      </c>
      <c r="K55" s="24">
        <f ca="1">'241 (Ужур)'!K55+'241 (Солнечный)'!K55</f>
        <v>0</v>
      </c>
      <c r="L55" s="24">
        <f ca="1">'241 (Ужур)'!L55+'241 (Солнечный)'!L55</f>
        <v>0</v>
      </c>
      <c r="M55" s="24">
        <f ca="1">'241 (Ужур)'!M55+'241 (Солнечный)'!M55</f>
        <v>0</v>
      </c>
      <c r="N55" s="24">
        <f ca="1">'241 (Ужур)'!N55+'241 (Солнечный)'!N55</f>
        <v>0</v>
      </c>
      <c r="O55" s="24">
        <f ca="1">'241 (Ужур)'!O55+'241 (Солнечный)'!O55</f>
        <v>0</v>
      </c>
    </row>
    <row r="56" spans="1:15">
      <c r="A56" s="25" t="s">
        <v>365</v>
      </c>
      <c r="C56" s="23">
        <f>Справочник!J2</f>
        <v>2018</v>
      </c>
      <c r="D56" s="24">
        <f ca="1">'241 (Ужур)'!D56+'241 (Солнечный)'!D56</f>
        <v>10</v>
      </c>
      <c r="E56" s="24">
        <f ca="1">'241 (Ужур)'!E56+'241 (Солнечный)'!E56</f>
        <v>0</v>
      </c>
      <c r="F56" s="24">
        <f ca="1">'241 (Ужур)'!F56+'241 (Солнечный)'!F56</f>
        <v>0</v>
      </c>
      <c r="G56" s="24">
        <f ca="1">'241 (Ужур)'!G56+'241 (Солнечный)'!G56</f>
        <v>0</v>
      </c>
      <c r="H56" s="24">
        <f ca="1">'241 (Ужур)'!H56+'241 (Солнечный)'!H56</f>
        <v>0</v>
      </c>
      <c r="I56" s="24">
        <f ca="1">'241 (Ужур)'!I56+'241 (Солнечный)'!I56</f>
        <v>0</v>
      </c>
      <c r="J56" s="24">
        <f ca="1">'241 (Ужур)'!J56+'241 (Солнечный)'!J56</f>
        <v>0</v>
      </c>
      <c r="K56" s="24">
        <f ca="1">'241 (Ужур)'!K56+'241 (Солнечный)'!K56</f>
        <v>0</v>
      </c>
      <c r="L56" s="24">
        <f ca="1">'241 (Ужур)'!L56+'241 (Солнечный)'!L56</f>
        <v>0</v>
      </c>
      <c r="M56" s="24">
        <f ca="1">'241 (Ужур)'!M56+'241 (Солнечный)'!M56</f>
        <v>0</v>
      </c>
      <c r="N56" s="24">
        <f ca="1">'241 (Ужур)'!N56+'241 (Солнечный)'!N56</f>
        <v>0</v>
      </c>
      <c r="O56" s="24">
        <f ca="1">'241 (Ужур)'!O56+'241 (Солнечный)'!O56</f>
        <v>0</v>
      </c>
    </row>
    <row r="57" spans="1:15">
      <c r="A57" s="27"/>
      <c r="B57" s="24" t="s">
        <v>119</v>
      </c>
      <c r="C57" s="33">
        <f>Справочник!J1</f>
        <v>2019</v>
      </c>
      <c r="D57" s="24">
        <f ca="1">'241 (Ужур)'!D57+'241 (Солнечный)'!D57</f>
        <v>3</v>
      </c>
      <c r="E57" s="24">
        <f ca="1">'241 (Ужур)'!E57+'241 (Солнечный)'!E57</f>
        <v>0</v>
      </c>
      <c r="F57" s="24">
        <f ca="1">'241 (Ужур)'!F57+'241 (Солнечный)'!F57</f>
        <v>0</v>
      </c>
      <c r="G57" s="24">
        <f ca="1">'241 (Ужур)'!G57+'241 (Солнечный)'!G57</f>
        <v>0</v>
      </c>
      <c r="H57" s="24">
        <f ca="1">'241 (Ужур)'!H57+'241 (Солнечный)'!H57</f>
        <v>0</v>
      </c>
      <c r="I57" s="24">
        <f ca="1">'241 (Ужур)'!I57+'241 (Солнечный)'!I57</f>
        <v>0</v>
      </c>
      <c r="J57" s="24">
        <f ca="1">'241 (Ужур)'!J57+'241 (Солнечный)'!J57</f>
        <v>0</v>
      </c>
      <c r="K57" s="24">
        <f ca="1">'241 (Ужур)'!K57+'241 (Солнечный)'!K57</f>
        <v>0</v>
      </c>
      <c r="L57" s="24">
        <f ca="1">'241 (Ужур)'!L57+'241 (Солнечный)'!L57</f>
        <v>0</v>
      </c>
      <c r="M57" s="24">
        <f ca="1">'241 (Ужур)'!M57+'241 (Солнечный)'!M57</f>
        <v>0</v>
      </c>
      <c r="N57" s="24">
        <f ca="1">'241 (Ужур)'!N57+'241 (Солнечный)'!N57</f>
        <v>0</v>
      </c>
      <c r="O57" s="24">
        <f ca="1">'241 (Ужур)'!O57+'241 (Солнечный)'!O57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4">
        <f ca="1">'241 (Ужур)'!D58+'241 (Солнечный)'!D58</f>
        <v>1</v>
      </c>
      <c r="E58" s="24">
        <f ca="1">'241 (Ужур)'!E58+'241 (Солнечный)'!E58</f>
        <v>0</v>
      </c>
      <c r="F58" s="24">
        <f ca="1">'241 (Ужур)'!F58+'241 (Солнечный)'!F58</f>
        <v>0</v>
      </c>
      <c r="G58" s="24">
        <f ca="1">'241 (Ужур)'!G58+'241 (Солнечный)'!G58</f>
        <v>0</v>
      </c>
      <c r="H58" s="24">
        <f ca="1">'241 (Ужур)'!H58+'241 (Солнечный)'!H58</f>
        <v>0</v>
      </c>
      <c r="I58" s="24">
        <f ca="1">'241 (Ужур)'!I58+'241 (Солнечный)'!I58</f>
        <v>0</v>
      </c>
      <c r="J58" s="24">
        <f ca="1">'241 (Ужур)'!J58+'241 (Солнечный)'!J58</f>
        <v>0</v>
      </c>
      <c r="K58" s="24">
        <f ca="1">'241 (Ужур)'!K58+'241 (Солнечный)'!K58</f>
        <v>0</v>
      </c>
      <c r="L58" s="24">
        <f ca="1">'241 (Ужур)'!L58+'241 (Солнечный)'!L58</f>
        <v>0</v>
      </c>
      <c r="M58" s="24">
        <f ca="1">'241 (Ужур)'!M58+'241 (Солнечный)'!M58</f>
        <v>0</v>
      </c>
      <c r="N58" s="24">
        <f ca="1">'241 (Ужур)'!N58+'241 (Солнечный)'!N58</f>
        <v>0</v>
      </c>
      <c r="O58" s="24">
        <f ca="1">'241 (Ужур)'!O58+'241 (Солнечный)'!O58</f>
        <v>0</v>
      </c>
    </row>
    <row r="59" spans="1:15">
      <c r="A59" s="27"/>
      <c r="C59" s="33">
        <f>Справочник!J1</f>
        <v>2019</v>
      </c>
      <c r="D59" s="24">
        <f ca="1">'241 (Ужур)'!D59+'241 (Солнечный)'!D59</f>
        <v>0</v>
      </c>
      <c r="E59" s="24">
        <f ca="1">'241 (Ужур)'!E59+'241 (Солнечный)'!E59</f>
        <v>0</v>
      </c>
      <c r="F59" s="24">
        <f ca="1">'241 (Ужур)'!F59+'241 (Солнечный)'!F59</f>
        <v>0</v>
      </c>
      <c r="G59" s="24">
        <f ca="1">'241 (Ужур)'!G59+'241 (Солнечный)'!G59</f>
        <v>0</v>
      </c>
      <c r="H59" s="24">
        <f ca="1">'241 (Ужур)'!H59+'241 (Солнечный)'!H59</f>
        <v>0</v>
      </c>
      <c r="I59" s="24">
        <f ca="1">'241 (Ужур)'!I59+'241 (Солнечный)'!I59</f>
        <v>0</v>
      </c>
      <c r="J59" s="24">
        <f ca="1">'241 (Ужур)'!J59+'241 (Солнечный)'!J59</f>
        <v>0</v>
      </c>
      <c r="K59" s="24">
        <f ca="1">'241 (Ужур)'!K59+'241 (Солнечный)'!K59</f>
        <v>0</v>
      </c>
      <c r="L59" s="24">
        <f ca="1">'241 (Ужур)'!L59+'241 (Солнечный)'!L59</f>
        <v>0</v>
      </c>
      <c r="M59" s="24">
        <f ca="1">'241 (Ужур)'!M59+'241 (Солнечный)'!M59</f>
        <v>0</v>
      </c>
      <c r="N59" s="24">
        <f ca="1">'241 (Ужур)'!N59+'241 (Солнечный)'!N59</f>
        <v>0</v>
      </c>
      <c r="O59" s="24">
        <f ca="1">'241 (Ужур)'!O59+'241 (Солнечный)'!O59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150">
        <f ca="1">'241 (Ужур)'!D61+'241 (Солнечный)'!D61</f>
        <v>38</v>
      </c>
      <c r="E61" s="150">
        <f ca="1">'241 (Ужур)'!E61+'241 (Солнечный)'!E61</f>
        <v>0</v>
      </c>
      <c r="F61" s="150">
        <f ca="1">'241 (Ужур)'!F61+'241 (Солнечный)'!F61</f>
        <v>0</v>
      </c>
      <c r="G61" s="150">
        <f ca="1">'241 (Ужур)'!G61+'241 (Солнечный)'!G61</f>
        <v>0</v>
      </c>
      <c r="H61" s="150">
        <f ca="1">'241 (Ужур)'!H61+'241 (Солнечный)'!H61</f>
        <v>0</v>
      </c>
      <c r="I61" s="150">
        <f ca="1">'241 (Ужур)'!I61+'241 (Солнечный)'!I61</f>
        <v>0</v>
      </c>
      <c r="J61" s="150">
        <f ca="1">'241 (Ужур)'!J61+'241 (Солнечный)'!J61</f>
        <v>0</v>
      </c>
      <c r="K61" s="150">
        <f ca="1">'241 (Ужур)'!K61+'241 (Солнечный)'!K61</f>
        <v>0</v>
      </c>
      <c r="L61" s="150">
        <f ca="1">'241 (Ужур)'!L61+'241 (Солнечный)'!L61</f>
        <v>0</v>
      </c>
      <c r="M61" s="150">
        <f ca="1">'241 (Ужур)'!M61+'241 (Солнечный)'!M61</f>
        <v>0</v>
      </c>
      <c r="N61" s="150">
        <f ca="1">'241 (Ужур)'!N61+'241 (Солнечный)'!N61</f>
        <v>0</v>
      </c>
      <c r="O61" s="150">
        <f ca="1">'241 (Ужур)'!O61+'241 (Солнечный)'!O61</f>
        <v>0</v>
      </c>
    </row>
    <row r="62" spans="1:15">
      <c r="A62" s="91" t="s">
        <v>372</v>
      </c>
      <c r="B62" s="92"/>
      <c r="C62" s="92"/>
      <c r="D62" s="150">
        <f ca="1">'241 (Ужур)'!D62+'241 (Солнечный)'!D62</f>
        <v>5</v>
      </c>
      <c r="E62" s="150">
        <f ca="1">'241 (Ужур)'!E62+'241 (Солнечный)'!E62</f>
        <v>0</v>
      </c>
      <c r="F62" s="150">
        <f ca="1">'241 (Ужур)'!F62+'241 (Солнечный)'!F62</f>
        <v>0</v>
      </c>
      <c r="G62" s="150">
        <f ca="1">'241 (Ужур)'!G62+'241 (Солнечный)'!G62</f>
        <v>0</v>
      </c>
      <c r="H62" s="150">
        <f ca="1">'241 (Ужур)'!H62+'241 (Солнечный)'!H62</f>
        <v>0</v>
      </c>
      <c r="I62" s="150">
        <f ca="1">'241 (Ужур)'!I62+'241 (Солнечный)'!I62</f>
        <v>0</v>
      </c>
      <c r="J62" s="150">
        <f ca="1">'241 (Ужур)'!J62+'241 (Солнечный)'!J62</f>
        <v>0</v>
      </c>
      <c r="K62" s="150">
        <f ca="1">'241 (Ужур)'!K62+'241 (Солнечный)'!K62</f>
        <v>0</v>
      </c>
      <c r="L62" s="150">
        <f ca="1">'241 (Ужур)'!L62+'241 (Солнечный)'!L62</f>
        <v>0</v>
      </c>
      <c r="M62" s="150">
        <f ca="1">'241 (Ужур)'!M62+'241 (Солнечный)'!M62</f>
        <v>0</v>
      </c>
      <c r="N62" s="150">
        <f ca="1">'241 (Ужур)'!N62+'241 (Солнечный)'!N62</f>
        <v>0</v>
      </c>
      <c r="O62" s="150">
        <f ca="1">'241 (Ужур)'!O62+'241 (Солнечный)'!O62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0.88372093023255816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150">
        <f ca="1">'241 (Ужур)'!D64+'241 (Солнечный)'!D64</f>
        <v>29</v>
      </c>
      <c r="E64" s="150">
        <f ca="1">'241 (Ужур)'!E64+'241 (Солнечный)'!E64</f>
        <v>0</v>
      </c>
      <c r="F64" s="150">
        <f ca="1">'241 (Ужур)'!F64+'241 (Солнечный)'!F64</f>
        <v>0</v>
      </c>
      <c r="G64" s="150">
        <f ca="1">'241 (Ужур)'!G64+'241 (Солнечный)'!G64</f>
        <v>0</v>
      </c>
      <c r="H64" s="150">
        <f ca="1">'241 (Ужур)'!H64+'241 (Солнечный)'!H64</f>
        <v>0</v>
      </c>
      <c r="I64" s="150">
        <f ca="1">'241 (Ужур)'!I64+'241 (Солнечный)'!I64</f>
        <v>0</v>
      </c>
      <c r="J64" s="150">
        <f ca="1">'241 (Ужур)'!J64+'241 (Солнечный)'!J64</f>
        <v>0</v>
      </c>
      <c r="K64" s="150">
        <f ca="1">'241 (Ужур)'!K64+'241 (Солнечный)'!K64</f>
        <v>0</v>
      </c>
      <c r="L64" s="150">
        <f ca="1">'241 (Ужур)'!L64+'241 (Солнечный)'!L64</f>
        <v>0</v>
      </c>
      <c r="M64" s="150">
        <f ca="1">'241 (Ужур)'!M64+'241 (Солнечный)'!M64</f>
        <v>0</v>
      </c>
      <c r="N64" s="150">
        <f ca="1">'241 (Ужур)'!N64+'241 (Солнечный)'!N64</f>
        <v>0</v>
      </c>
      <c r="O64" s="150">
        <f ca="1">'241 (Ужур)'!O64+'241 (Солнечный)'!O64</f>
        <v>0</v>
      </c>
    </row>
    <row r="65" spans="1:15">
      <c r="A65" s="100" t="s">
        <v>372</v>
      </c>
      <c r="B65" s="97"/>
      <c r="C65" s="97"/>
      <c r="D65" s="150">
        <f ca="1">'241 (Ужур)'!D65+'241 (Солнечный)'!D65</f>
        <v>8</v>
      </c>
      <c r="E65" s="150">
        <f ca="1">'241 (Ужур)'!E65+'241 (Солнечный)'!E65</f>
        <v>0</v>
      </c>
      <c r="F65" s="150">
        <f ca="1">'241 (Ужур)'!F65+'241 (Солнечный)'!F65</f>
        <v>0</v>
      </c>
      <c r="G65" s="150">
        <f ca="1">'241 (Ужур)'!G65+'241 (Солнечный)'!G65</f>
        <v>0</v>
      </c>
      <c r="H65" s="150">
        <f ca="1">'241 (Ужур)'!H65+'241 (Солнечный)'!H65</f>
        <v>0</v>
      </c>
      <c r="I65" s="150">
        <f ca="1">'241 (Ужур)'!I65+'241 (Солнечный)'!I65</f>
        <v>0</v>
      </c>
      <c r="J65" s="150">
        <f ca="1">'241 (Ужур)'!J65+'241 (Солнечный)'!J65</f>
        <v>0</v>
      </c>
      <c r="K65" s="150">
        <f ca="1">'241 (Ужур)'!K65+'241 (Солнечный)'!K65</f>
        <v>0</v>
      </c>
      <c r="L65" s="150">
        <f ca="1">'241 (Ужур)'!L65+'241 (Солнечный)'!L65</f>
        <v>0</v>
      </c>
      <c r="M65" s="150">
        <f ca="1">'241 (Ужур)'!M65+'241 (Солнечный)'!M65</f>
        <v>0</v>
      </c>
      <c r="N65" s="150">
        <f ca="1">'241 (Ужур)'!N65+'241 (Солнечный)'!N65</f>
        <v>0</v>
      </c>
      <c r="O65" s="150">
        <f ca="1">'241 (Ужур)'!O65+'241 (Солнечный)'!O65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0.78378378378378377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150">
        <f ca="1">'241 (Ужур)'!D67+'241 (Солнечный)'!D67</f>
        <v>10</v>
      </c>
      <c r="E67" s="150">
        <f ca="1">'241 (Ужур)'!E67+'241 (Солнечный)'!E67</f>
        <v>0</v>
      </c>
      <c r="F67" s="150">
        <f ca="1">'241 (Ужур)'!F67+'241 (Солнечный)'!F67</f>
        <v>0</v>
      </c>
      <c r="G67" s="150">
        <f ca="1">'241 (Ужур)'!G67+'241 (Солнечный)'!G67</f>
        <v>0</v>
      </c>
      <c r="H67" s="150">
        <f ca="1">'241 (Ужур)'!H67+'241 (Солнечный)'!H67</f>
        <v>0</v>
      </c>
      <c r="I67" s="150">
        <f ca="1">'241 (Ужур)'!I67+'241 (Солнечный)'!I67</f>
        <v>0</v>
      </c>
      <c r="J67" s="150">
        <f ca="1">'241 (Ужур)'!J67+'241 (Солнечный)'!J67</f>
        <v>0</v>
      </c>
      <c r="K67" s="150">
        <f ca="1">'241 (Ужур)'!K67+'241 (Солнечный)'!K67</f>
        <v>0</v>
      </c>
      <c r="L67" s="150">
        <f ca="1">'241 (Ужур)'!L67+'241 (Солнечный)'!L67</f>
        <v>0</v>
      </c>
      <c r="M67" s="150">
        <f ca="1">'241 (Ужур)'!M67+'241 (Солнечный)'!M67</f>
        <v>0</v>
      </c>
      <c r="N67" s="150">
        <f ca="1">'241 (Ужур)'!N67+'241 (Солнечный)'!N67</f>
        <v>0</v>
      </c>
      <c r="O67" s="150">
        <f ca="1">'241 (Ужур)'!O67+'241 (Солнечный)'!O67</f>
        <v>0</v>
      </c>
    </row>
    <row r="68" spans="1:15">
      <c r="A68" s="91" t="s">
        <v>372</v>
      </c>
      <c r="B68" s="92"/>
      <c r="C68" s="92"/>
      <c r="D68" s="150">
        <f ca="1">'241 (Ужур)'!D68+'241 (Солнечный)'!D68</f>
        <v>1</v>
      </c>
      <c r="E68" s="150">
        <f ca="1">'241 (Ужур)'!E68+'241 (Солнечный)'!E68</f>
        <v>0</v>
      </c>
      <c r="F68" s="150">
        <f ca="1">'241 (Ужур)'!F68+'241 (Солнечный)'!F68</f>
        <v>0</v>
      </c>
      <c r="G68" s="150">
        <f ca="1">'241 (Ужур)'!G68+'241 (Солнечный)'!G68</f>
        <v>0</v>
      </c>
      <c r="H68" s="150">
        <f ca="1">'241 (Ужур)'!H68+'241 (Солнечный)'!H68</f>
        <v>0</v>
      </c>
      <c r="I68" s="150">
        <f ca="1">'241 (Ужур)'!I68+'241 (Солнечный)'!I68</f>
        <v>0</v>
      </c>
      <c r="J68" s="150">
        <f ca="1">'241 (Ужур)'!J68+'241 (Солнечный)'!J68</f>
        <v>0</v>
      </c>
      <c r="K68" s="150">
        <f ca="1">'241 (Ужур)'!K68+'241 (Солнечный)'!K68</f>
        <v>0</v>
      </c>
      <c r="L68" s="150">
        <f ca="1">'241 (Ужур)'!L68+'241 (Солнечный)'!L68</f>
        <v>0</v>
      </c>
      <c r="M68" s="150">
        <f ca="1">'241 (Ужур)'!M68+'241 (Солнечный)'!M68</f>
        <v>0</v>
      </c>
      <c r="N68" s="150">
        <f ca="1">'241 (Ужур)'!N68+'241 (Солнечный)'!N68</f>
        <v>0</v>
      </c>
      <c r="O68" s="150">
        <f ca="1">'241 (Ужур)'!O68+'241 (Солнечный)'!O68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0.90909090909090906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150">
        <f ca="1">'241 (Ужур)'!D70+'241 (Солнечный)'!D70</f>
        <v>3</v>
      </c>
      <c r="E70" s="150">
        <f ca="1">'241 (Ужур)'!E70+'241 (Солнечный)'!E70</f>
        <v>0</v>
      </c>
      <c r="F70" s="150">
        <f ca="1">'241 (Ужур)'!F70+'241 (Солнечный)'!F70</f>
        <v>0</v>
      </c>
      <c r="G70" s="150">
        <f ca="1">'241 (Ужур)'!G70+'241 (Солнечный)'!G70</f>
        <v>0</v>
      </c>
      <c r="H70" s="150">
        <f ca="1">'241 (Ужур)'!H70+'241 (Солнечный)'!H70</f>
        <v>0</v>
      </c>
      <c r="I70" s="150">
        <f ca="1">'241 (Ужур)'!I70+'241 (Солнечный)'!I70</f>
        <v>0</v>
      </c>
      <c r="J70" s="150">
        <f ca="1">'241 (Ужур)'!J70+'241 (Солнечный)'!J70</f>
        <v>0</v>
      </c>
      <c r="K70" s="150">
        <f ca="1">'241 (Ужур)'!K70+'241 (Солнечный)'!K70</f>
        <v>0</v>
      </c>
      <c r="L70" s="150">
        <f ca="1">'241 (Ужур)'!L70+'241 (Солнечный)'!L70</f>
        <v>0</v>
      </c>
      <c r="M70" s="150">
        <f ca="1">'241 (Ужур)'!M70+'241 (Солнечный)'!M70</f>
        <v>0</v>
      </c>
      <c r="N70" s="150">
        <f ca="1">'241 (Ужур)'!N70+'241 (Солнечный)'!N70</f>
        <v>0</v>
      </c>
      <c r="O70" s="150">
        <f ca="1">'241 (Ужур)'!O70+'241 (Солнечный)'!O70</f>
        <v>0</v>
      </c>
    </row>
    <row r="71" spans="1:15">
      <c r="A71" s="100" t="s">
        <v>372</v>
      </c>
      <c r="B71" s="97"/>
      <c r="C71" s="97"/>
      <c r="D71" s="150">
        <f ca="1">'241 (Ужур)'!D71+'241 (Солнечный)'!D71</f>
        <v>2</v>
      </c>
      <c r="E71" s="150">
        <f ca="1">'241 (Ужур)'!E71+'241 (Солнечный)'!E71</f>
        <v>0</v>
      </c>
      <c r="F71" s="150">
        <f ca="1">'241 (Ужур)'!F71+'241 (Солнечный)'!F71</f>
        <v>0</v>
      </c>
      <c r="G71" s="150">
        <f ca="1">'241 (Ужур)'!G71+'241 (Солнечный)'!G71</f>
        <v>0</v>
      </c>
      <c r="H71" s="150">
        <f ca="1">'241 (Ужур)'!H71+'241 (Солнечный)'!H71</f>
        <v>0</v>
      </c>
      <c r="I71" s="150">
        <f ca="1">'241 (Ужур)'!I71+'241 (Солнечный)'!I71</f>
        <v>0</v>
      </c>
      <c r="J71" s="150">
        <f ca="1">'241 (Ужур)'!J71+'241 (Солнечный)'!J71</f>
        <v>0</v>
      </c>
      <c r="K71" s="150">
        <f ca="1">'241 (Ужур)'!K71+'241 (Солнечный)'!K71</f>
        <v>0</v>
      </c>
      <c r="L71" s="150">
        <f ca="1">'241 (Ужур)'!L71+'241 (Солнечный)'!L71</f>
        <v>0</v>
      </c>
      <c r="M71" s="150">
        <f ca="1">'241 (Ужур)'!M71+'241 (Солнечный)'!M71</f>
        <v>0</v>
      </c>
      <c r="N71" s="150">
        <f ca="1">'241 (Ужур)'!N71+'241 (Солнечный)'!N71</f>
        <v>0</v>
      </c>
      <c r="O71" s="150">
        <f ca="1">'241 (Ужур)'!O71+'241 (Солнечный)'!O71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150">
        <f ca="1">'241 (Ужур)'!D73+'241 (Солнечный)'!D73</f>
        <v>0</v>
      </c>
      <c r="E73" s="150">
        <f ca="1">'241 (Ужур)'!E73+'241 (Солнечный)'!E73</f>
        <v>0</v>
      </c>
      <c r="F73" s="150">
        <f ca="1">'241 (Ужур)'!F73+'241 (Солнечный)'!F73</f>
        <v>0</v>
      </c>
      <c r="G73" s="150">
        <f ca="1">'241 (Ужур)'!G73+'241 (Солнечный)'!G73</f>
        <v>0</v>
      </c>
      <c r="H73" s="150">
        <f ca="1">'241 (Ужур)'!H73+'241 (Солнечный)'!H73</f>
        <v>0</v>
      </c>
      <c r="I73" s="150">
        <f ca="1">'241 (Ужур)'!I73+'241 (Солнечный)'!I73</f>
        <v>0</v>
      </c>
      <c r="J73" s="150">
        <f ca="1">'241 (Ужур)'!J73+'241 (Солнечный)'!J73</f>
        <v>0</v>
      </c>
      <c r="K73" s="150">
        <f ca="1">'241 (Ужур)'!K73+'241 (Солнечный)'!K73</f>
        <v>0</v>
      </c>
      <c r="L73" s="150">
        <f ca="1">'241 (Ужур)'!L73+'241 (Солнечный)'!L73</f>
        <v>0</v>
      </c>
      <c r="M73" s="150">
        <f ca="1">'241 (Ужур)'!M73+'241 (Солнечный)'!M73</f>
        <v>0</v>
      </c>
      <c r="N73" s="150">
        <f ca="1">'241 (Ужур)'!N73+'241 (Солнечный)'!N73</f>
        <v>0</v>
      </c>
      <c r="O73" s="150">
        <f ca="1">'241 (Ужур)'!O73+'241 (Солнечный)'!O73</f>
        <v>0</v>
      </c>
    </row>
    <row r="74" spans="1:15">
      <c r="A74" s="91" t="s">
        <v>372</v>
      </c>
      <c r="B74" s="92"/>
      <c r="C74" s="92"/>
      <c r="D74" s="150">
        <f ca="1">'241 (Ужур)'!D74+'241 (Солнечный)'!D74</f>
        <v>0</v>
      </c>
      <c r="E74" s="150">
        <f ca="1">'241 (Ужур)'!E74+'241 (Солнечный)'!E74</f>
        <v>0</v>
      </c>
      <c r="F74" s="150">
        <f ca="1">'241 (Ужур)'!F74+'241 (Солнечный)'!F74</f>
        <v>0</v>
      </c>
      <c r="G74" s="150">
        <f ca="1">'241 (Ужур)'!G74+'241 (Солнечный)'!G74</f>
        <v>0</v>
      </c>
      <c r="H74" s="150">
        <f ca="1">'241 (Ужур)'!H74+'241 (Солнечный)'!H74</f>
        <v>0</v>
      </c>
      <c r="I74" s="150">
        <f ca="1">'241 (Ужур)'!I74+'241 (Солнечный)'!I74</f>
        <v>0</v>
      </c>
      <c r="J74" s="150">
        <f ca="1">'241 (Ужур)'!J74+'241 (Солнечный)'!J74</f>
        <v>0</v>
      </c>
      <c r="K74" s="150">
        <f ca="1">'241 (Ужур)'!K74+'241 (Солнечный)'!K74</f>
        <v>0</v>
      </c>
      <c r="L74" s="150">
        <f ca="1">'241 (Ужур)'!L74+'241 (Солнечный)'!L74</f>
        <v>0</v>
      </c>
      <c r="M74" s="150">
        <f ca="1">'241 (Ужур)'!M74+'241 (Солнечный)'!M74</f>
        <v>0</v>
      </c>
      <c r="N74" s="150">
        <f ca="1">'241 (Ужур)'!N74+'241 (Солнечный)'!N74</f>
        <v>0</v>
      </c>
      <c r="O74" s="150">
        <f ca="1">'241 (Ужур)'!O74+'241 (Солнечный)'!O74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150">
        <f ca="1">'241 (Ужур)'!D76+'241 (Солнечный)'!D76</f>
        <v>1</v>
      </c>
      <c r="E76" s="150">
        <f ca="1">'241 (Ужур)'!E76+'241 (Солнечный)'!E76</f>
        <v>0</v>
      </c>
      <c r="F76" s="150">
        <f ca="1">'241 (Ужур)'!F76+'241 (Солнечный)'!F76</f>
        <v>0</v>
      </c>
      <c r="G76" s="150">
        <f ca="1">'241 (Ужур)'!G76+'241 (Солнечный)'!G76</f>
        <v>0</v>
      </c>
      <c r="H76" s="150">
        <f ca="1">'241 (Ужур)'!H76+'241 (Солнечный)'!H76</f>
        <v>0</v>
      </c>
      <c r="I76" s="150">
        <f ca="1">'241 (Ужур)'!I76+'241 (Солнечный)'!I76</f>
        <v>0</v>
      </c>
      <c r="J76" s="150">
        <f ca="1">'241 (Ужур)'!J76+'241 (Солнечный)'!J76</f>
        <v>0</v>
      </c>
      <c r="K76" s="150">
        <f ca="1">'241 (Ужур)'!K76+'241 (Солнечный)'!K76</f>
        <v>0</v>
      </c>
      <c r="L76" s="150">
        <f ca="1">'241 (Ужур)'!L76+'241 (Солнечный)'!L76</f>
        <v>0</v>
      </c>
      <c r="M76" s="150">
        <f ca="1">'241 (Ужур)'!M76+'241 (Солнечный)'!M76</f>
        <v>0</v>
      </c>
      <c r="N76" s="150">
        <f ca="1">'241 (Ужур)'!N76+'241 (Солнечный)'!N76</f>
        <v>0</v>
      </c>
      <c r="O76" s="150">
        <f ca="1">'241 (Ужур)'!O76+'241 (Солнечный)'!O76</f>
        <v>0</v>
      </c>
    </row>
    <row r="77" spans="1:15">
      <c r="A77" s="100" t="s">
        <v>372</v>
      </c>
      <c r="B77" s="97"/>
      <c r="C77" s="97"/>
      <c r="D77" s="150">
        <f ca="1">'241 (Ужур)'!D77+'241 (Солнечный)'!D77</f>
        <v>0</v>
      </c>
      <c r="E77" s="150">
        <f ca="1">'241 (Ужур)'!E77+'241 (Солнечный)'!E77</f>
        <v>0</v>
      </c>
      <c r="F77" s="150">
        <f ca="1">'241 (Ужур)'!F77+'241 (Солнечный)'!F77</f>
        <v>0</v>
      </c>
      <c r="G77" s="150">
        <f ca="1">'241 (Ужур)'!G77+'241 (Солнечный)'!G77</f>
        <v>0</v>
      </c>
      <c r="H77" s="150">
        <f ca="1">'241 (Ужур)'!H77+'241 (Солнечный)'!H77</f>
        <v>0</v>
      </c>
      <c r="I77" s="150">
        <f ca="1">'241 (Ужур)'!I77+'241 (Солнечный)'!I77</f>
        <v>0</v>
      </c>
      <c r="J77" s="150">
        <f ca="1">'241 (Ужур)'!J77+'241 (Солнечный)'!J77</f>
        <v>0</v>
      </c>
      <c r="K77" s="150">
        <f ca="1">'241 (Ужур)'!K77+'241 (Солнечный)'!K77</f>
        <v>0</v>
      </c>
      <c r="L77" s="150">
        <f ca="1">'241 (Ужур)'!L77+'241 (Солнечный)'!L77</f>
        <v>0</v>
      </c>
      <c r="M77" s="150">
        <f ca="1">'241 (Ужур)'!M77+'241 (Солнечный)'!M77</f>
        <v>0</v>
      </c>
      <c r="N77" s="150">
        <f ca="1">'241 (Ужур)'!N77+'241 (Солнечный)'!N77</f>
        <v>0</v>
      </c>
      <c r="O77" s="150">
        <f ca="1">'241 (Ужур)'!O77+'241 (Солнечный)'!O77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150">
        <f ca="1">'241 (Ужур)'!D79+'241 (Солнечный)'!D79</f>
        <v>3</v>
      </c>
      <c r="E79" s="150">
        <f ca="1">'241 (Ужур)'!E79+'241 (Солнечный)'!E79</f>
        <v>0</v>
      </c>
      <c r="F79" s="150">
        <f ca="1">'241 (Ужур)'!F79+'241 (Солнечный)'!F79</f>
        <v>0</v>
      </c>
      <c r="G79" s="150">
        <f ca="1">'241 (Ужур)'!G79+'241 (Солнечный)'!G79</f>
        <v>0</v>
      </c>
      <c r="H79" s="150">
        <f ca="1">'241 (Ужур)'!H79+'241 (Солнечный)'!H79</f>
        <v>0</v>
      </c>
      <c r="I79" s="150">
        <f ca="1">'241 (Ужур)'!I79+'241 (Солнечный)'!I79</f>
        <v>0</v>
      </c>
      <c r="J79" s="150">
        <f ca="1">'241 (Ужур)'!J79+'241 (Солнечный)'!J79</f>
        <v>0</v>
      </c>
      <c r="K79" s="150">
        <f ca="1">'241 (Ужур)'!K79+'241 (Солнечный)'!K79</f>
        <v>0</v>
      </c>
      <c r="L79" s="150">
        <f ca="1">'241 (Ужур)'!L79+'241 (Солнечный)'!L79</f>
        <v>0</v>
      </c>
      <c r="M79" s="150">
        <f ca="1">'241 (Ужур)'!M79+'241 (Солнечный)'!M79</f>
        <v>0</v>
      </c>
      <c r="N79" s="150">
        <f ca="1">'241 (Ужур)'!N79+'241 (Солнечный)'!N79</f>
        <v>0</v>
      </c>
      <c r="O79" s="150">
        <f ca="1">'241 (Ужур)'!O79+'241 (Солнечный)'!O79</f>
        <v>0</v>
      </c>
    </row>
    <row r="80" spans="1:15">
      <c r="A80" s="91" t="s">
        <v>372</v>
      </c>
      <c r="B80" s="92"/>
      <c r="C80" s="92"/>
      <c r="D80" s="150">
        <f ca="1">'241 (Ужур)'!D80+'241 (Солнечный)'!D80</f>
        <v>0</v>
      </c>
      <c r="E80" s="150">
        <f ca="1">'241 (Ужур)'!E80+'241 (Солнечный)'!E80</f>
        <v>0</v>
      </c>
      <c r="F80" s="150">
        <f ca="1">'241 (Ужур)'!F80+'241 (Солнечный)'!F80</f>
        <v>0</v>
      </c>
      <c r="G80" s="150">
        <f ca="1">'241 (Ужур)'!G80+'241 (Солнечный)'!G80</f>
        <v>0</v>
      </c>
      <c r="H80" s="150">
        <f ca="1">'241 (Ужур)'!H80+'241 (Солнечный)'!H80</f>
        <v>0</v>
      </c>
      <c r="I80" s="150">
        <f ca="1">'241 (Ужур)'!I80+'241 (Солнечный)'!I80</f>
        <v>0</v>
      </c>
      <c r="J80" s="150">
        <f ca="1">'241 (Ужур)'!J80+'241 (Солнечный)'!J80</f>
        <v>0</v>
      </c>
      <c r="K80" s="150">
        <f ca="1">'241 (Ужур)'!K80+'241 (Солнечный)'!K80</f>
        <v>0</v>
      </c>
      <c r="L80" s="150">
        <f ca="1">'241 (Ужур)'!L80+'241 (Солнечный)'!L80</f>
        <v>0</v>
      </c>
      <c r="M80" s="150">
        <f ca="1">'241 (Ужур)'!M80+'241 (Солнечный)'!M80</f>
        <v>0</v>
      </c>
      <c r="N80" s="150">
        <f ca="1">'241 (Ужур)'!N80+'241 (Солнечный)'!N80</f>
        <v>0</v>
      </c>
      <c r="O80" s="150">
        <f ca="1">'241 (Ужур)'!O80+'241 (Солнечный)'!O80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150">
        <f ca="1">'241 (Ужур)'!D82+'241 (Солнечный)'!D82</f>
        <v>0</v>
      </c>
      <c r="E82" s="150">
        <f ca="1">'241 (Ужур)'!E82+'241 (Солнечный)'!E82</f>
        <v>0</v>
      </c>
      <c r="F82" s="150">
        <f ca="1">'241 (Ужур)'!F82+'241 (Солнечный)'!F82</f>
        <v>0</v>
      </c>
      <c r="G82" s="150">
        <f ca="1">'241 (Ужур)'!G82+'241 (Солнечный)'!G82</f>
        <v>0</v>
      </c>
      <c r="H82" s="150">
        <f ca="1">'241 (Ужур)'!H82+'241 (Солнечный)'!H82</f>
        <v>0</v>
      </c>
      <c r="I82" s="150">
        <f ca="1">'241 (Ужур)'!I82+'241 (Солнечный)'!I82</f>
        <v>0</v>
      </c>
      <c r="J82" s="150">
        <f ca="1">'241 (Ужур)'!J82+'241 (Солнечный)'!J82</f>
        <v>0</v>
      </c>
      <c r="K82" s="150">
        <f ca="1">'241 (Ужур)'!K82+'241 (Солнечный)'!K82</f>
        <v>0</v>
      </c>
      <c r="L82" s="150">
        <f ca="1">'241 (Ужур)'!L82+'241 (Солнечный)'!L82</f>
        <v>0</v>
      </c>
      <c r="M82" s="150">
        <f ca="1">'241 (Ужур)'!M82+'241 (Солнечный)'!M82</f>
        <v>0</v>
      </c>
      <c r="N82" s="150">
        <f ca="1">'241 (Ужур)'!N82+'241 (Солнечный)'!N82</f>
        <v>0</v>
      </c>
      <c r="O82" s="150">
        <f ca="1">'241 (Ужур)'!O82+'241 (Солнечный)'!O82</f>
        <v>0</v>
      </c>
    </row>
    <row r="83" spans="1:15">
      <c r="A83" s="100" t="s">
        <v>372</v>
      </c>
      <c r="B83" s="97"/>
      <c r="C83" s="97"/>
      <c r="D83" s="150">
        <f ca="1">'241 (Ужур)'!D83+'241 (Солнечный)'!D83</f>
        <v>0</v>
      </c>
      <c r="E83" s="150">
        <f ca="1">'241 (Ужур)'!E83+'241 (Солнечный)'!E83</f>
        <v>0</v>
      </c>
      <c r="F83" s="150">
        <f ca="1">'241 (Ужур)'!F83+'241 (Солнечный)'!F83</f>
        <v>0</v>
      </c>
      <c r="G83" s="150">
        <f ca="1">'241 (Ужур)'!G83+'241 (Солнечный)'!G83</f>
        <v>0</v>
      </c>
      <c r="H83" s="150">
        <f ca="1">'241 (Ужур)'!H83+'241 (Солнечный)'!H83</f>
        <v>0</v>
      </c>
      <c r="I83" s="150">
        <f ca="1">'241 (Ужур)'!I83+'241 (Солнечный)'!I83</f>
        <v>0</v>
      </c>
      <c r="J83" s="150">
        <f ca="1">'241 (Ужур)'!J83+'241 (Солнечный)'!J83</f>
        <v>0</v>
      </c>
      <c r="K83" s="150">
        <f ca="1">'241 (Ужур)'!K83+'241 (Солнечный)'!K83</f>
        <v>0</v>
      </c>
      <c r="L83" s="150">
        <f ca="1">'241 (Ужур)'!L83+'241 (Солнечный)'!L83</f>
        <v>0</v>
      </c>
      <c r="M83" s="150">
        <f ca="1">'241 (Ужур)'!M83+'241 (Солнечный)'!M83</f>
        <v>0</v>
      </c>
      <c r="N83" s="150">
        <f ca="1">'241 (Ужур)'!N83+'241 (Солнечный)'!N83</f>
        <v>0</v>
      </c>
      <c r="O83" s="150">
        <f ca="1">'241 (Ужур)'!O83+'241 (Солнечный)'!O83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150">
        <f ca="1">'241 (Ужур)'!D85+'241 (Солнечный)'!D85</f>
        <v>0</v>
      </c>
      <c r="E85" s="150">
        <f ca="1">'241 (Ужур)'!E85+'241 (Солнечный)'!E85</f>
        <v>0</v>
      </c>
      <c r="F85" s="150">
        <f ca="1">'241 (Ужур)'!F85+'241 (Солнечный)'!F85</f>
        <v>0</v>
      </c>
      <c r="G85" s="150">
        <f ca="1">'241 (Ужур)'!G85+'241 (Солнечный)'!G85</f>
        <v>0</v>
      </c>
      <c r="H85" s="150">
        <f ca="1">'241 (Ужур)'!H85+'241 (Солнечный)'!H85</f>
        <v>0</v>
      </c>
      <c r="I85" s="150">
        <f ca="1">'241 (Ужур)'!I85+'241 (Солнечный)'!I85</f>
        <v>0</v>
      </c>
      <c r="J85" s="150">
        <f ca="1">'241 (Ужур)'!J85+'241 (Солнечный)'!J85</f>
        <v>0</v>
      </c>
      <c r="K85" s="150">
        <f ca="1">'241 (Ужур)'!K85+'241 (Солнечный)'!K85</f>
        <v>0</v>
      </c>
      <c r="L85" s="150">
        <f ca="1">'241 (Ужур)'!L85+'241 (Солнечный)'!L85</f>
        <v>0</v>
      </c>
      <c r="M85" s="150">
        <f ca="1">'241 (Ужур)'!M85+'241 (Солнечный)'!M85</f>
        <v>0</v>
      </c>
      <c r="N85" s="150">
        <f ca="1">'241 (Ужур)'!N85+'241 (Солнечный)'!N85</f>
        <v>0</v>
      </c>
      <c r="O85" s="150">
        <f ca="1">'241 (Ужур)'!O85+'241 (Солнечный)'!O85</f>
        <v>0</v>
      </c>
    </row>
    <row r="86" spans="1:15">
      <c r="A86" s="91" t="s">
        <v>372</v>
      </c>
      <c r="B86" s="92"/>
      <c r="C86" s="92"/>
      <c r="D86" s="150">
        <f ca="1">'241 (Ужур)'!D86+'241 (Солнечный)'!D86</f>
        <v>0</v>
      </c>
      <c r="E86" s="150">
        <f ca="1">'241 (Ужур)'!E86+'241 (Солнечный)'!E86</f>
        <v>0</v>
      </c>
      <c r="F86" s="150">
        <f ca="1">'241 (Ужур)'!F86+'241 (Солнечный)'!F86</f>
        <v>0</v>
      </c>
      <c r="G86" s="150">
        <f ca="1">'241 (Ужур)'!G86+'241 (Солнечный)'!G86</f>
        <v>0</v>
      </c>
      <c r="H86" s="150">
        <f ca="1">'241 (Ужур)'!H86+'241 (Солнечный)'!H86</f>
        <v>0</v>
      </c>
      <c r="I86" s="150">
        <f ca="1">'241 (Ужур)'!I86+'241 (Солнечный)'!I86</f>
        <v>0</v>
      </c>
      <c r="J86" s="150">
        <f ca="1">'241 (Ужур)'!J86+'241 (Солнечный)'!J86</f>
        <v>0</v>
      </c>
      <c r="K86" s="150">
        <f ca="1">'241 (Ужур)'!K86+'241 (Солнечный)'!K86</f>
        <v>0</v>
      </c>
      <c r="L86" s="150">
        <f ca="1">'241 (Ужур)'!L86+'241 (Солнечный)'!L86</f>
        <v>0</v>
      </c>
      <c r="M86" s="150">
        <f ca="1">'241 (Ужур)'!M86+'241 (Солнечный)'!M86</f>
        <v>0</v>
      </c>
      <c r="N86" s="150">
        <f ca="1">'241 (Ужур)'!N86+'241 (Солнечный)'!N86</f>
        <v>0</v>
      </c>
      <c r="O86" s="150">
        <f ca="1">'241 (Ужур)'!O86+'241 (Солнечный)'!O86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150">
        <f ca="1">'241 (Ужур)'!D88+'241 (Солнечный)'!D88</f>
        <v>0</v>
      </c>
      <c r="E88" s="150">
        <f ca="1">'241 (Ужур)'!E88+'241 (Солнечный)'!E88</f>
        <v>0</v>
      </c>
      <c r="F88" s="150">
        <f ca="1">'241 (Ужур)'!F88+'241 (Солнечный)'!F88</f>
        <v>0</v>
      </c>
      <c r="G88" s="150">
        <f ca="1">'241 (Ужур)'!G88+'241 (Солнечный)'!G88</f>
        <v>0</v>
      </c>
      <c r="H88" s="150">
        <f ca="1">'241 (Ужур)'!H88+'241 (Солнечный)'!H88</f>
        <v>0</v>
      </c>
      <c r="I88" s="150">
        <f ca="1">'241 (Ужур)'!I88+'241 (Солнечный)'!I88</f>
        <v>0</v>
      </c>
      <c r="J88" s="150">
        <f ca="1">'241 (Ужур)'!J88+'241 (Солнечный)'!J88</f>
        <v>0</v>
      </c>
      <c r="K88" s="150">
        <f ca="1">'241 (Ужур)'!K88+'241 (Солнечный)'!K88</f>
        <v>0</v>
      </c>
      <c r="L88" s="150">
        <f ca="1">'241 (Ужур)'!L88+'241 (Солнечный)'!L88</f>
        <v>0</v>
      </c>
      <c r="M88" s="150">
        <f ca="1">'241 (Ужур)'!M88+'241 (Солнечный)'!M88</f>
        <v>0</v>
      </c>
      <c r="N88" s="150">
        <f ca="1">'241 (Ужур)'!N88+'241 (Солнечный)'!N88</f>
        <v>0</v>
      </c>
      <c r="O88" s="150">
        <f ca="1">'241 (Ужур)'!O88+'241 (Солнечный)'!O88</f>
        <v>0</v>
      </c>
    </row>
    <row r="89" spans="1:15">
      <c r="A89" s="100" t="s">
        <v>372</v>
      </c>
      <c r="B89" s="97"/>
      <c r="C89" s="97"/>
      <c r="D89" s="150">
        <f ca="1">'241 (Ужур)'!D89+'241 (Солнечный)'!D89</f>
        <v>0</v>
      </c>
      <c r="E89" s="150">
        <f ca="1">'241 (Ужур)'!E89+'241 (Солнечный)'!E89</f>
        <v>0</v>
      </c>
      <c r="F89" s="150">
        <f ca="1">'241 (Ужур)'!F89+'241 (Солнечный)'!F89</f>
        <v>0</v>
      </c>
      <c r="G89" s="150">
        <f ca="1">'241 (Ужур)'!G89+'241 (Солнечный)'!G89</f>
        <v>0</v>
      </c>
      <c r="H89" s="150">
        <f ca="1">'241 (Ужур)'!H89+'241 (Солнечный)'!H89</f>
        <v>0</v>
      </c>
      <c r="I89" s="150">
        <f ca="1">'241 (Ужур)'!I89+'241 (Солнечный)'!I89</f>
        <v>0</v>
      </c>
      <c r="J89" s="150">
        <f ca="1">'241 (Ужур)'!J89+'241 (Солнечный)'!J89</f>
        <v>0</v>
      </c>
      <c r="K89" s="150">
        <f ca="1">'241 (Ужур)'!K89+'241 (Солнечный)'!K89</f>
        <v>0</v>
      </c>
      <c r="L89" s="150">
        <f ca="1">'241 (Ужур)'!L89+'241 (Солнечный)'!L89</f>
        <v>0</v>
      </c>
      <c r="M89" s="150">
        <f ca="1">'241 (Ужур)'!M89+'241 (Солнечный)'!M89</f>
        <v>0</v>
      </c>
      <c r="N89" s="150">
        <f ca="1">'241 (Ужур)'!N89+'241 (Солнечный)'!N89</f>
        <v>0</v>
      </c>
      <c r="O89" s="150">
        <f ca="1">'241 (Ужур)'!O89+'241 (Солнечный)'!O89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150">
        <f ca="1">'241 (Ужур)'!D91+'241 (Солнечный)'!D91</f>
        <v>1</v>
      </c>
      <c r="E91" s="150">
        <f ca="1">'241 (Ужур)'!E91+'241 (Солнечный)'!E91</f>
        <v>0</v>
      </c>
      <c r="F91" s="150">
        <f ca="1">'241 (Ужур)'!F91+'241 (Солнечный)'!F91</f>
        <v>0</v>
      </c>
      <c r="G91" s="150">
        <f ca="1">'241 (Ужур)'!G91+'241 (Солнечный)'!G91</f>
        <v>0</v>
      </c>
      <c r="H91" s="150">
        <f ca="1">'241 (Ужур)'!H91+'241 (Солнечный)'!H91</f>
        <v>0</v>
      </c>
      <c r="I91" s="150">
        <f ca="1">'241 (Ужур)'!I91+'241 (Солнечный)'!I91</f>
        <v>0</v>
      </c>
      <c r="J91" s="150">
        <f ca="1">'241 (Ужур)'!J91+'241 (Солнечный)'!J91</f>
        <v>0</v>
      </c>
      <c r="K91" s="150">
        <f ca="1">'241 (Ужур)'!K91+'241 (Солнечный)'!K91</f>
        <v>0</v>
      </c>
      <c r="L91" s="150">
        <f ca="1">'241 (Ужур)'!L91+'241 (Солнечный)'!L91</f>
        <v>0</v>
      </c>
      <c r="M91" s="150">
        <f ca="1">'241 (Ужур)'!M91+'241 (Солнечный)'!M91</f>
        <v>0</v>
      </c>
      <c r="N91" s="150">
        <f ca="1">'241 (Ужур)'!N91+'241 (Солнечный)'!N91</f>
        <v>0</v>
      </c>
      <c r="O91" s="150">
        <f ca="1">'241 (Ужур)'!O91+'241 (Солнечный)'!O91</f>
        <v>0</v>
      </c>
    </row>
    <row r="92" spans="1:15">
      <c r="A92" s="91" t="s">
        <v>372</v>
      </c>
      <c r="B92" s="92"/>
      <c r="C92" s="92"/>
      <c r="D92" s="150">
        <f ca="1">'241 (Ужур)'!D92+'241 (Солнечный)'!D92</f>
        <v>0</v>
      </c>
      <c r="E92" s="150">
        <f ca="1">'241 (Ужур)'!E92+'241 (Солнечный)'!E92</f>
        <v>0</v>
      </c>
      <c r="F92" s="150">
        <f ca="1">'241 (Ужур)'!F92+'241 (Солнечный)'!F92</f>
        <v>0</v>
      </c>
      <c r="G92" s="150">
        <f ca="1">'241 (Ужур)'!G92+'241 (Солнечный)'!G92</f>
        <v>0</v>
      </c>
      <c r="H92" s="150">
        <f ca="1">'241 (Ужур)'!H92+'241 (Солнечный)'!H92</f>
        <v>0</v>
      </c>
      <c r="I92" s="150">
        <f ca="1">'241 (Ужур)'!I92+'241 (Солнечный)'!I92</f>
        <v>0</v>
      </c>
      <c r="J92" s="150">
        <f ca="1">'241 (Ужур)'!J92+'241 (Солнечный)'!J92</f>
        <v>0</v>
      </c>
      <c r="K92" s="150">
        <f ca="1">'241 (Ужур)'!K92+'241 (Солнечный)'!K92</f>
        <v>0</v>
      </c>
      <c r="L92" s="150">
        <f ca="1">'241 (Ужур)'!L92+'241 (Солнечный)'!L92</f>
        <v>0</v>
      </c>
      <c r="M92" s="150">
        <f ca="1">'241 (Ужур)'!M92+'241 (Солнечный)'!M92</f>
        <v>0</v>
      </c>
      <c r="N92" s="150">
        <f ca="1">'241 (Ужур)'!N92+'241 (Солнечный)'!N92</f>
        <v>0</v>
      </c>
      <c r="O92" s="150">
        <f ca="1">'241 (Ужур)'!O92+'241 (Солнечный)'!O92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150">
        <f ca="1">'241 (Ужур)'!D94+'241 (Солнечный)'!D94</f>
        <v>2</v>
      </c>
      <c r="E94" s="150">
        <f ca="1">'241 (Ужур)'!E94+'241 (Солнечный)'!E94</f>
        <v>0</v>
      </c>
      <c r="F94" s="150">
        <f ca="1">'241 (Ужур)'!F94+'241 (Солнечный)'!F94</f>
        <v>0</v>
      </c>
      <c r="G94" s="150">
        <f ca="1">'241 (Ужур)'!G94+'241 (Солнечный)'!G94</f>
        <v>0</v>
      </c>
      <c r="H94" s="150">
        <f ca="1">'241 (Ужур)'!H94+'241 (Солнечный)'!H94</f>
        <v>0</v>
      </c>
      <c r="I94" s="150">
        <f ca="1">'241 (Ужур)'!I94+'241 (Солнечный)'!I94</f>
        <v>0</v>
      </c>
      <c r="J94" s="150">
        <f ca="1">'241 (Ужур)'!J94+'241 (Солнечный)'!J94</f>
        <v>0</v>
      </c>
      <c r="K94" s="150">
        <f ca="1">'241 (Ужур)'!K94+'241 (Солнечный)'!K94</f>
        <v>0</v>
      </c>
      <c r="L94" s="150">
        <f ca="1">'241 (Ужур)'!L94+'241 (Солнечный)'!L94</f>
        <v>0</v>
      </c>
      <c r="M94" s="150">
        <f ca="1">'241 (Ужур)'!M94+'241 (Солнечный)'!M94</f>
        <v>0</v>
      </c>
      <c r="N94" s="150">
        <f ca="1">'241 (Ужур)'!N94+'241 (Солнечный)'!N94</f>
        <v>0</v>
      </c>
      <c r="O94" s="150">
        <f ca="1">'241 (Ужур)'!O94+'241 (Солнечный)'!O94</f>
        <v>0</v>
      </c>
    </row>
    <row r="95" spans="1:15">
      <c r="A95" s="100" t="s">
        <v>372</v>
      </c>
      <c r="B95" s="97"/>
      <c r="C95" s="97"/>
      <c r="D95" s="150">
        <f ca="1">'241 (Ужур)'!D95+'241 (Солнечный)'!D95</f>
        <v>0</v>
      </c>
      <c r="E95" s="150">
        <f ca="1">'241 (Ужур)'!E95+'241 (Солнечный)'!E95</f>
        <v>0</v>
      </c>
      <c r="F95" s="150">
        <f ca="1">'241 (Ужур)'!F95+'241 (Солнечный)'!F95</f>
        <v>0</v>
      </c>
      <c r="G95" s="150">
        <f ca="1">'241 (Ужур)'!G95+'241 (Солнечный)'!G95</f>
        <v>0</v>
      </c>
      <c r="H95" s="150">
        <f ca="1">'241 (Ужур)'!H95+'241 (Солнечный)'!H95</f>
        <v>0</v>
      </c>
      <c r="I95" s="150">
        <f ca="1">'241 (Ужур)'!I95+'241 (Солнечный)'!I95</f>
        <v>0</v>
      </c>
      <c r="J95" s="150">
        <f ca="1">'241 (Ужур)'!J95+'241 (Солнечный)'!J95</f>
        <v>0</v>
      </c>
      <c r="K95" s="150">
        <f ca="1">'241 (Ужур)'!K95+'241 (Солнечный)'!K95</f>
        <v>0</v>
      </c>
      <c r="L95" s="150">
        <f ca="1">'241 (Ужур)'!L95+'241 (Солнечный)'!L95</f>
        <v>0</v>
      </c>
      <c r="M95" s="150">
        <f ca="1">'241 (Ужур)'!M95+'241 (Солнечный)'!M95</f>
        <v>0</v>
      </c>
      <c r="N95" s="150">
        <f ca="1">'241 (Ужур)'!N95+'241 (Солнечный)'!N95</f>
        <v>0</v>
      </c>
      <c r="O95" s="150">
        <f ca="1">'241 (Ужур)'!O95+'241 (Солнечный)'!O95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150">
        <f ca="1">'241 (Ужур)'!D97+'241 (Солнечный)'!D97</f>
        <v>5</v>
      </c>
      <c r="E97" s="150">
        <f ca="1">'241 (Ужур)'!E97+'241 (Солнечный)'!E97</f>
        <v>0</v>
      </c>
      <c r="F97" s="150">
        <f ca="1">'241 (Ужур)'!F97+'241 (Солнечный)'!F97</f>
        <v>0</v>
      </c>
      <c r="G97" s="150">
        <f ca="1">'241 (Ужур)'!G97+'241 (Солнечный)'!G97</f>
        <v>0</v>
      </c>
      <c r="H97" s="150">
        <f ca="1">'241 (Ужур)'!H97+'241 (Солнечный)'!H97</f>
        <v>0</v>
      </c>
      <c r="I97" s="150">
        <f ca="1">'241 (Ужур)'!I97+'241 (Солнечный)'!I97</f>
        <v>0</v>
      </c>
      <c r="J97" s="150">
        <f ca="1">'241 (Ужур)'!J97+'241 (Солнечный)'!J97</f>
        <v>0</v>
      </c>
      <c r="K97" s="150">
        <f ca="1">'241 (Ужур)'!K97+'241 (Солнечный)'!K97</f>
        <v>0</v>
      </c>
      <c r="L97" s="150">
        <f ca="1">'241 (Ужур)'!L97+'241 (Солнечный)'!L97</f>
        <v>0</v>
      </c>
      <c r="M97" s="150">
        <f ca="1">'241 (Ужур)'!M97+'241 (Солнечный)'!M97</f>
        <v>0</v>
      </c>
      <c r="N97" s="150">
        <f ca="1">'241 (Ужур)'!N97+'241 (Солнечный)'!N97</f>
        <v>0</v>
      </c>
      <c r="O97" s="150">
        <f ca="1">'241 (Ужур)'!O97+'241 (Солнечный)'!O97</f>
        <v>0</v>
      </c>
    </row>
    <row r="98" spans="1:15">
      <c r="A98" s="91" t="s">
        <v>372</v>
      </c>
      <c r="B98" s="92"/>
      <c r="C98" s="92"/>
      <c r="D98" s="150">
        <f ca="1">'241 (Ужур)'!D98+'241 (Солнечный)'!D98</f>
        <v>5</v>
      </c>
      <c r="E98" s="150">
        <f ca="1">'241 (Ужур)'!E98+'241 (Солнечный)'!E98</f>
        <v>0</v>
      </c>
      <c r="F98" s="150">
        <f ca="1">'241 (Ужур)'!F98+'241 (Солнечный)'!F98</f>
        <v>0</v>
      </c>
      <c r="G98" s="150">
        <f ca="1">'241 (Ужур)'!G98+'241 (Солнечный)'!G98</f>
        <v>0</v>
      </c>
      <c r="H98" s="150">
        <f ca="1">'241 (Ужур)'!H98+'241 (Солнечный)'!H98</f>
        <v>0</v>
      </c>
      <c r="I98" s="150">
        <f ca="1">'241 (Ужур)'!I98+'241 (Солнечный)'!I98</f>
        <v>0</v>
      </c>
      <c r="J98" s="150">
        <f ca="1">'241 (Ужур)'!J98+'241 (Солнечный)'!J98</f>
        <v>0</v>
      </c>
      <c r="K98" s="150">
        <f ca="1">'241 (Ужур)'!K98+'241 (Солнечный)'!K98</f>
        <v>0</v>
      </c>
      <c r="L98" s="150">
        <f ca="1">'241 (Ужур)'!L98+'241 (Солнечный)'!L98</f>
        <v>0</v>
      </c>
      <c r="M98" s="150">
        <f ca="1">'241 (Ужур)'!M98+'241 (Солнечный)'!M98</f>
        <v>0</v>
      </c>
      <c r="N98" s="150">
        <f ca="1">'241 (Ужур)'!N98+'241 (Солнечный)'!N98</f>
        <v>0</v>
      </c>
      <c r="O98" s="150">
        <f ca="1">'241 (Ужур)'!O98+'241 (Солнечный)'!O98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150">
        <f ca="1">'241 (Ужур)'!D100+'241 (Солнечный)'!D100</f>
        <v>13</v>
      </c>
      <c r="E100" s="150">
        <f ca="1">'241 (Ужур)'!E100+'241 (Солнечный)'!E100</f>
        <v>0</v>
      </c>
      <c r="F100" s="150">
        <f ca="1">'241 (Ужур)'!F100+'241 (Солнечный)'!F100</f>
        <v>0</v>
      </c>
      <c r="G100" s="150">
        <f ca="1">'241 (Ужур)'!G100+'241 (Солнечный)'!G100</f>
        <v>0</v>
      </c>
      <c r="H100" s="150">
        <f ca="1">'241 (Ужур)'!H100+'241 (Солнечный)'!H100</f>
        <v>0</v>
      </c>
      <c r="I100" s="150">
        <f ca="1">'241 (Ужур)'!I100+'241 (Солнечный)'!I100</f>
        <v>0</v>
      </c>
      <c r="J100" s="150">
        <f ca="1">'241 (Ужур)'!J100+'241 (Солнечный)'!J100</f>
        <v>0</v>
      </c>
      <c r="K100" s="150">
        <f ca="1">'241 (Ужур)'!K100+'241 (Солнечный)'!K100</f>
        <v>0</v>
      </c>
      <c r="L100" s="150">
        <f ca="1">'241 (Ужур)'!L100+'241 (Солнечный)'!L100</f>
        <v>0</v>
      </c>
      <c r="M100" s="150">
        <f ca="1">'241 (Ужур)'!M100+'241 (Солнечный)'!M100</f>
        <v>0</v>
      </c>
      <c r="N100" s="150">
        <f ca="1">'241 (Ужур)'!N100+'241 (Солнечный)'!N100</f>
        <v>0</v>
      </c>
      <c r="O100" s="150">
        <f ca="1">'241 (Ужур)'!O100+'241 (Солнечный)'!O100</f>
        <v>0</v>
      </c>
    </row>
    <row r="101" spans="1:15">
      <c r="A101" s="100" t="s">
        <v>372</v>
      </c>
      <c r="B101" s="97"/>
      <c r="C101" s="97"/>
      <c r="D101" s="150">
        <f ca="1">'241 (Ужур)'!D101+'241 (Солнечный)'!D101</f>
        <v>7</v>
      </c>
      <c r="E101" s="150">
        <f ca="1">'241 (Ужур)'!E101+'241 (Солнечный)'!E101</f>
        <v>0</v>
      </c>
      <c r="F101" s="150">
        <f ca="1">'241 (Ужур)'!F101+'241 (Солнечный)'!F101</f>
        <v>0</v>
      </c>
      <c r="G101" s="150">
        <f ca="1">'241 (Ужур)'!G101+'241 (Солнечный)'!G101</f>
        <v>0</v>
      </c>
      <c r="H101" s="150">
        <f ca="1">'241 (Ужур)'!H101+'241 (Солнечный)'!H101</f>
        <v>0</v>
      </c>
      <c r="I101" s="150">
        <f ca="1">'241 (Ужур)'!I101+'241 (Солнечный)'!I101</f>
        <v>0</v>
      </c>
      <c r="J101" s="150">
        <f ca="1">'241 (Ужур)'!J101+'241 (Солнечный)'!J101</f>
        <v>0</v>
      </c>
      <c r="K101" s="150">
        <f ca="1">'241 (Ужур)'!K101+'241 (Солнечный)'!K101</f>
        <v>0</v>
      </c>
      <c r="L101" s="150">
        <f ca="1">'241 (Ужур)'!L101+'241 (Солнечный)'!L101</f>
        <v>0</v>
      </c>
      <c r="M101" s="150">
        <f ca="1">'241 (Ужур)'!M101+'241 (Солнечный)'!M101</f>
        <v>0</v>
      </c>
      <c r="N101" s="150">
        <f ca="1">'241 (Ужур)'!N101+'241 (Солнечный)'!N101</f>
        <v>0</v>
      </c>
      <c r="O101" s="150">
        <f ca="1">'241 (Ужур)'!O101+'241 (Солнечный)'!O101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150">
        <f ca="1">'241 (Ужур)'!D103+'241 (Солнечный)'!D103</f>
        <v>1</v>
      </c>
      <c r="E103" s="150">
        <f ca="1">'241 (Ужур)'!E103+'241 (Солнечный)'!E103</f>
        <v>0</v>
      </c>
      <c r="F103" s="150">
        <f ca="1">'241 (Ужур)'!F103+'241 (Солнечный)'!F103</f>
        <v>0</v>
      </c>
      <c r="G103" s="150">
        <f ca="1">'241 (Ужур)'!G103+'241 (Солнечный)'!G103</f>
        <v>0</v>
      </c>
      <c r="H103" s="150">
        <f ca="1">'241 (Ужур)'!H103+'241 (Солнечный)'!H103</f>
        <v>0</v>
      </c>
      <c r="I103" s="150">
        <f ca="1">'241 (Ужур)'!I103+'241 (Солнечный)'!I103</f>
        <v>0</v>
      </c>
      <c r="J103" s="150">
        <f ca="1">'241 (Ужур)'!J103+'241 (Солнечный)'!J103</f>
        <v>0</v>
      </c>
      <c r="K103" s="150">
        <f ca="1">'241 (Ужур)'!K103+'241 (Солнечный)'!K103</f>
        <v>0</v>
      </c>
      <c r="L103" s="150">
        <f ca="1">'241 (Ужур)'!L103+'241 (Солнечный)'!L103</f>
        <v>0</v>
      </c>
      <c r="M103" s="150">
        <f ca="1">'241 (Ужур)'!M103+'241 (Солнечный)'!M103</f>
        <v>0</v>
      </c>
      <c r="N103" s="150">
        <f ca="1">'241 (Ужур)'!N103+'241 (Солнечный)'!N103</f>
        <v>0</v>
      </c>
      <c r="O103" s="150">
        <f ca="1">'241 (Ужур)'!O103+'241 (Солнечный)'!O103</f>
        <v>0</v>
      </c>
    </row>
    <row r="104" spans="1:15">
      <c r="A104" s="91" t="s">
        <v>372</v>
      </c>
      <c r="B104" s="92"/>
      <c r="C104" s="92"/>
      <c r="D104" s="150">
        <f ca="1">'241 (Ужур)'!D104+'241 (Солнечный)'!D104</f>
        <v>0</v>
      </c>
      <c r="E104" s="150">
        <f ca="1">'241 (Ужур)'!E104+'241 (Солнечный)'!E104</f>
        <v>0</v>
      </c>
      <c r="F104" s="150">
        <f ca="1">'241 (Ужур)'!F104+'241 (Солнечный)'!F104</f>
        <v>0</v>
      </c>
      <c r="G104" s="150">
        <f ca="1">'241 (Ужур)'!G104+'241 (Солнечный)'!G104</f>
        <v>0</v>
      </c>
      <c r="H104" s="150">
        <f ca="1">'241 (Ужур)'!H104+'241 (Солнечный)'!H104</f>
        <v>0</v>
      </c>
      <c r="I104" s="150">
        <f ca="1">'241 (Ужур)'!I104+'241 (Солнечный)'!I104</f>
        <v>0</v>
      </c>
      <c r="J104" s="150">
        <f ca="1">'241 (Ужур)'!J104+'241 (Солнечный)'!J104</f>
        <v>0</v>
      </c>
      <c r="K104" s="150">
        <f ca="1">'241 (Ужур)'!K104+'241 (Солнечный)'!K104</f>
        <v>0</v>
      </c>
      <c r="L104" s="150">
        <f ca="1">'241 (Ужур)'!L104+'241 (Солнечный)'!L104</f>
        <v>0</v>
      </c>
      <c r="M104" s="150">
        <f ca="1">'241 (Ужур)'!M104+'241 (Солнечный)'!M104</f>
        <v>0</v>
      </c>
      <c r="N104" s="150">
        <f ca="1">'241 (Ужур)'!N104+'241 (Солнечный)'!N104</f>
        <v>0</v>
      </c>
      <c r="O104" s="150">
        <f ca="1">'241 (Ужур)'!O104+'241 (Солнечный)'!O104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150">
        <f ca="1">'241 (Ужур)'!D106+'241 (Солнечный)'!D106</f>
        <v>1</v>
      </c>
      <c r="E106" s="150">
        <f ca="1">'241 (Ужур)'!E106+'241 (Солнечный)'!E106</f>
        <v>0</v>
      </c>
      <c r="F106" s="150">
        <f ca="1">'241 (Ужур)'!F106+'241 (Солнечный)'!F106</f>
        <v>0</v>
      </c>
      <c r="G106" s="150">
        <f ca="1">'241 (Ужур)'!G106+'241 (Солнечный)'!G106</f>
        <v>0</v>
      </c>
      <c r="H106" s="150">
        <f ca="1">'241 (Ужур)'!H106+'241 (Солнечный)'!H106</f>
        <v>0</v>
      </c>
      <c r="I106" s="150">
        <f ca="1">'241 (Ужур)'!I106+'241 (Солнечный)'!I106</f>
        <v>0</v>
      </c>
      <c r="J106" s="150">
        <f ca="1">'241 (Ужур)'!J106+'241 (Солнечный)'!J106</f>
        <v>0</v>
      </c>
      <c r="K106" s="150">
        <f ca="1">'241 (Ужур)'!K106+'241 (Солнечный)'!K106</f>
        <v>0</v>
      </c>
      <c r="L106" s="150">
        <f ca="1">'241 (Ужур)'!L106+'241 (Солнечный)'!L106</f>
        <v>0</v>
      </c>
      <c r="M106" s="150">
        <f ca="1">'241 (Ужур)'!M106+'241 (Солнечный)'!M106</f>
        <v>0</v>
      </c>
      <c r="N106" s="150">
        <f ca="1">'241 (Ужур)'!N106+'241 (Солнечный)'!N106</f>
        <v>0</v>
      </c>
      <c r="O106" s="150">
        <f ca="1">'241 (Ужур)'!O106+'241 (Солнечный)'!O106</f>
        <v>0</v>
      </c>
    </row>
    <row r="107" spans="1:15">
      <c r="A107" s="100" t="s">
        <v>372</v>
      </c>
      <c r="B107" s="97"/>
      <c r="C107" s="97"/>
      <c r="D107" s="150">
        <f ca="1">'241 (Ужур)'!D107+'241 (Солнечный)'!D107</f>
        <v>0</v>
      </c>
      <c r="E107" s="150">
        <f ca="1">'241 (Ужур)'!E107+'241 (Солнечный)'!E107</f>
        <v>0</v>
      </c>
      <c r="F107" s="150">
        <f ca="1">'241 (Ужур)'!F107+'241 (Солнечный)'!F107</f>
        <v>0</v>
      </c>
      <c r="G107" s="150">
        <f ca="1">'241 (Ужур)'!G107+'241 (Солнечный)'!G107</f>
        <v>0</v>
      </c>
      <c r="H107" s="150">
        <f ca="1">'241 (Ужур)'!H107+'241 (Солнечный)'!H107</f>
        <v>0</v>
      </c>
      <c r="I107" s="150">
        <f ca="1">'241 (Ужур)'!I107+'241 (Солнечный)'!I107</f>
        <v>0</v>
      </c>
      <c r="J107" s="150">
        <f ca="1">'241 (Ужур)'!J107+'241 (Солнечный)'!J107</f>
        <v>0</v>
      </c>
      <c r="K107" s="150">
        <f ca="1">'241 (Ужур)'!K107+'241 (Солнечный)'!K107</f>
        <v>0</v>
      </c>
      <c r="L107" s="150">
        <f ca="1">'241 (Ужур)'!L107+'241 (Солнечный)'!L107</f>
        <v>0</v>
      </c>
      <c r="M107" s="150">
        <f ca="1">'241 (Ужур)'!M107+'241 (Солнечный)'!M107</f>
        <v>0</v>
      </c>
      <c r="N107" s="150">
        <f ca="1">'241 (Ужур)'!N107+'241 (Солнечный)'!N107</f>
        <v>0</v>
      </c>
      <c r="O107" s="150">
        <f ca="1">'241 (Ужур)'!O107+'241 (Солнечный)'!O107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111</v>
      </c>
      <c r="D1" s="2">
        <v>36</v>
      </c>
    </row>
    <row r="2" spans="1:15">
      <c r="D2" s="2">
        <v>37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39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37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7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12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36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26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19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16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25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21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26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22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11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8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9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9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36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0.87804878048780488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26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0.78787878787878785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9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0.9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5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13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7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0.65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111</v>
      </c>
      <c r="D1" s="2">
        <v>39</v>
      </c>
    </row>
    <row r="2" spans="1:15">
      <c r="D2" s="2">
        <v>40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9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8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0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0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112</v>
      </c>
      <c r="D1" s="2">
        <v>243</v>
      </c>
    </row>
    <row r="2" spans="1:15">
      <c r="D2" s="2">
        <f>D1+1</f>
        <v>244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24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17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5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11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9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17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0.80952380952380953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0.33333333333333331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0.8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113</v>
      </c>
      <c r="D1" s="2">
        <v>42</v>
      </c>
    </row>
    <row r="2" spans="1:15">
      <c r="D2" s="2">
        <v>43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69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65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10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27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3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9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6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47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36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7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6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25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11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38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29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5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4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30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21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12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9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9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5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47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0.87037037037037035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36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10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0.78260869565217395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0.5714285714285714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5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0.625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2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19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0.82608695652173914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0.73333333333333328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114</v>
      </c>
      <c r="D1" s="2">
        <v>48</v>
      </c>
    </row>
    <row r="2" spans="1:15">
      <c r="D2" s="2">
        <v>49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32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34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5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17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11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26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21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6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8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16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13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6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1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13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15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7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26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12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0.68421052631578949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21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7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12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0.5714285714285714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7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0.53846153846153844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534</v>
      </c>
      <c r="D1" s="2">
        <v>192</v>
      </c>
    </row>
    <row r="2" spans="1:15">
      <c r="D2" s="2">
        <f>D1+1</f>
        <v>193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21</v>
      </c>
      <c r="E4" s="24">
        <f ca="1">INDIRECT("'"&amp;E3&amp;"'!G"&amp;D1&amp;"")</f>
        <v>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11</v>
      </c>
      <c r="E5" s="24">
        <f ca="1">INDIRECT("'"&amp;E3&amp;"'!G"&amp;D2&amp;"")</f>
        <v>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</v>
      </c>
      <c r="E16" s="24">
        <f ca="1">INDIRECT("'"&amp;E3&amp;"'!cu"&amp;D1&amp;"")</f>
        <v>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0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10</v>
      </c>
      <c r="E37" s="24">
        <f ca="1">INDIRECT("'"&amp;E3&amp;"'!i"&amp;D2&amp;"")</f>
        <v>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7</v>
      </c>
      <c r="E42" s="24">
        <f ca="1">INDIRECT("'"&amp;E3&amp;"'!bg"&amp;D1&amp;"")</f>
        <v>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9</v>
      </c>
      <c r="E48" s="24">
        <f ca="1">INDIRECT("'"&amp;E3&amp;"'!ba"&amp;D1&amp;"")</f>
        <v>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11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0.52173913043478259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10</v>
      </c>
      <c r="E64" s="97">
        <f ca="1">INDIRECT("'"&amp;E3&amp;"'!i"&amp;D2&amp;"")</f>
        <v>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0.58823529411764708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0.27272727272727271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X272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4" ht="26.25">
      <c r="B1" s="31" t="s">
        <v>158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4" s="2" customFormat="1" ht="39.75" customHeight="1">
      <c r="A2" s="367"/>
      <c r="B2" s="368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3" t="s">
        <v>205</v>
      </c>
      <c r="W2" s="363"/>
      <c r="X2" s="363" t="s">
        <v>206</v>
      </c>
      <c r="Y2" s="363"/>
      <c r="Z2" s="363"/>
      <c r="AA2" s="363"/>
      <c r="AB2" s="363"/>
      <c r="AC2" s="363"/>
      <c r="AD2" s="363" t="s">
        <v>207</v>
      </c>
      <c r="AE2" s="363"/>
      <c r="AF2" s="363"/>
      <c r="AG2" s="363"/>
      <c r="AH2" s="363"/>
      <c r="AI2" s="363"/>
      <c r="AJ2" s="365" t="s">
        <v>208</v>
      </c>
      <c r="AK2" s="366"/>
      <c r="AL2" s="366" t="s">
        <v>209</v>
      </c>
      <c r="AM2" s="366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3" t="s">
        <v>212</v>
      </c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 t="s">
        <v>213</v>
      </c>
      <c r="BQ2" s="363"/>
      <c r="BR2" s="363"/>
      <c r="BS2" s="363"/>
      <c r="BT2" s="363" t="s">
        <v>39</v>
      </c>
      <c r="BU2" s="363"/>
      <c r="BV2" s="363"/>
      <c r="BW2" s="363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3" t="s">
        <v>45</v>
      </c>
      <c r="CV2" s="363"/>
      <c r="CW2" s="363"/>
      <c r="CX2" s="363"/>
      <c r="CY2" s="363" t="s">
        <v>217</v>
      </c>
      <c r="CZ2" s="363"/>
      <c r="DA2" s="363"/>
      <c r="DB2" s="363"/>
      <c r="DC2" s="363" t="s">
        <v>218</v>
      </c>
      <c r="DD2" s="363"/>
      <c r="DE2" s="363"/>
      <c r="DF2" s="363" t="s">
        <v>219</v>
      </c>
      <c r="DG2" s="363"/>
      <c r="DH2" s="363"/>
      <c r="DI2" s="363"/>
      <c r="DJ2" s="363" t="s">
        <v>46</v>
      </c>
      <c r="DK2" s="363"/>
      <c r="DL2" s="363"/>
      <c r="DM2" s="363"/>
      <c r="DN2" s="363" t="s">
        <v>220</v>
      </c>
      <c r="DO2" s="363"/>
      <c r="DP2" s="363"/>
      <c r="DQ2" s="369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3" t="s">
        <v>223</v>
      </c>
      <c r="EF2" s="363" t="s">
        <v>224</v>
      </c>
      <c r="EG2" s="363"/>
      <c r="EH2" s="363"/>
      <c r="EI2" s="363"/>
      <c r="EJ2" s="363"/>
      <c r="EK2" s="363"/>
      <c r="EL2" s="363" t="s">
        <v>225</v>
      </c>
      <c r="EM2" s="363" t="s">
        <v>226</v>
      </c>
      <c r="EN2" s="363" t="s">
        <v>227</v>
      </c>
      <c r="EO2" s="363" t="s">
        <v>228</v>
      </c>
      <c r="EP2" s="363" t="s">
        <v>229</v>
      </c>
      <c r="EQ2" s="363" t="s">
        <v>230</v>
      </c>
      <c r="ER2" s="363" t="s">
        <v>231</v>
      </c>
      <c r="ES2" s="363"/>
      <c r="ET2" s="363"/>
      <c r="EU2" s="363"/>
    </row>
    <row r="3" spans="1:154" s="2" customFormat="1" ht="27" customHeight="1">
      <c r="A3" s="367"/>
      <c r="B3" s="368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3"/>
      <c r="W3" s="363"/>
      <c r="X3" s="363" t="s">
        <v>15</v>
      </c>
      <c r="Y3" s="363"/>
      <c r="Z3" s="363" t="s">
        <v>16</v>
      </c>
      <c r="AA3" s="363"/>
      <c r="AB3" s="363" t="s">
        <v>234</v>
      </c>
      <c r="AC3" s="363" t="s">
        <v>203</v>
      </c>
      <c r="AD3" s="363" t="s">
        <v>15</v>
      </c>
      <c r="AE3" s="363"/>
      <c r="AF3" s="363" t="s">
        <v>16</v>
      </c>
      <c r="AG3" s="363"/>
      <c r="AH3" s="363" t="s">
        <v>234</v>
      </c>
      <c r="AI3" s="363" t="s">
        <v>203</v>
      </c>
      <c r="AJ3" s="363" t="s">
        <v>235</v>
      </c>
      <c r="AK3" s="363" t="s">
        <v>236</v>
      </c>
      <c r="AL3" s="363" t="s">
        <v>235</v>
      </c>
      <c r="AM3" s="369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3" t="s">
        <v>241</v>
      </c>
      <c r="BE3" s="363"/>
      <c r="BF3" s="363"/>
      <c r="BG3" s="363" t="s">
        <v>242</v>
      </c>
      <c r="BH3" s="363"/>
      <c r="BI3" s="363"/>
      <c r="BJ3" s="363" t="s">
        <v>243</v>
      </c>
      <c r="BK3" s="363"/>
      <c r="BL3" s="363"/>
      <c r="BM3" s="363"/>
      <c r="BN3" s="363"/>
      <c r="BO3" s="363"/>
      <c r="BP3" s="363" t="s">
        <v>15</v>
      </c>
      <c r="BQ3" s="363" t="s">
        <v>244</v>
      </c>
      <c r="BR3" s="363" t="s">
        <v>245</v>
      </c>
      <c r="BS3" s="363" t="s">
        <v>203</v>
      </c>
      <c r="BT3" s="363" t="s">
        <v>15</v>
      </c>
      <c r="BU3" s="363" t="s">
        <v>244</v>
      </c>
      <c r="BV3" s="363" t="s">
        <v>245</v>
      </c>
      <c r="BW3" s="363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3" t="s">
        <v>15</v>
      </c>
      <c r="CV3" s="363" t="s">
        <v>244</v>
      </c>
      <c r="CW3" s="363" t="s">
        <v>245</v>
      </c>
      <c r="CX3" s="363" t="s">
        <v>203</v>
      </c>
      <c r="CY3" s="363" t="s">
        <v>15</v>
      </c>
      <c r="CZ3" s="363" t="s">
        <v>244</v>
      </c>
      <c r="DA3" s="363" t="s">
        <v>245</v>
      </c>
      <c r="DB3" s="363" t="s">
        <v>203</v>
      </c>
      <c r="DC3" s="363" t="s">
        <v>15</v>
      </c>
      <c r="DD3" s="363" t="s">
        <v>244</v>
      </c>
      <c r="DE3" s="363" t="s">
        <v>245</v>
      </c>
      <c r="DF3" s="363" t="s">
        <v>15</v>
      </c>
      <c r="DG3" s="363" t="s">
        <v>244</v>
      </c>
      <c r="DH3" s="363" t="s">
        <v>245</v>
      </c>
      <c r="DI3" s="363" t="s">
        <v>203</v>
      </c>
      <c r="DJ3" s="363" t="s">
        <v>15</v>
      </c>
      <c r="DK3" s="363" t="s">
        <v>244</v>
      </c>
      <c r="DL3" s="363" t="s">
        <v>245</v>
      </c>
      <c r="DM3" s="363" t="s">
        <v>203</v>
      </c>
      <c r="DN3" s="363" t="s">
        <v>15</v>
      </c>
      <c r="DO3" s="363" t="s">
        <v>244</v>
      </c>
      <c r="DP3" s="363" t="s">
        <v>245</v>
      </c>
      <c r="DQ3" s="369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3"/>
      <c r="EF3" s="363" t="s">
        <v>250</v>
      </c>
      <c r="EG3" s="363" t="s">
        <v>251</v>
      </c>
      <c r="EH3" s="363" t="s">
        <v>252</v>
      </c>
      <c r="EI3" s="363" t="s">
        <v>253</v>
      </c>
      <c r="EJ3" s="363" t="s">
        <v>254</v>
      </c>
      <c r="EK3" s="363" t="s">
        <v>255</v>
      </c>
      <c r="EL3" s="363"/>
      <c r="EM3" s="363"/>
      <c r="EN3" s="363"/>
      <c r="EO3" s="363"/>
      <c r="EP3" s="363"/>
      <c r="EQ3" s="363"/>
      <c r="ER3" s="363" t="s">
        <v>256</v>
      </c>
      <c r="ES3" s="363" t="s">
        <v>257</v>
      </c>
      <c r="ET3" s="363" t="s">
        <v>258</v>
      </c>
      <c r="EU3" s="363" t="s">
        <v>259</v>
      </c>
    </row>
    <row r="4" spans="1:154" s="2" customFormat="1" ht="27" customHeight="1">
      <c r="A4" s="367"/>
      <c r="B4" s="368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3"/>
      <c r="AC4" s="363"/>
      <c r="AD4" s="7" t="s">
        <v>0</v>
      </c>
      <c r="AE4" s="7" t="s">
        <v>236</v>
      </c>
      <c r="AF4" s="7" t="s">
        <v>0</v>
      </c>
      <c r="AG4" s="7" t="s">
        <v>236</v>
      </c>
      <c r="AH4" s="363"/>
      <c r="AI4" s="363"/>
      <c r="AJ4" s="363"/>
      <c r="AK4" s="363"/>
      <c r="AL4" s="363"/>
      <c r="AM4" s="369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3"/>
      <c r="BQ4" s="363"/>
      <c r="BR4" s="363"/>
      <c r="BS4" s="363"/>
      <c r="BT4" s="363"/>
      <c r="BU4" s="363"/>
      <c r="BV4" s="363"/>
      <c r="BW4" s="363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3"/>
      <c r="CV4" s="363"/>
      <c r="CW4" s="363"/>
      <c r="CX4" s="363"/>
      <c r="CY4" s="363"/>
      <c r="CZ4" s="363"/>
      <c r="DA4" s="363"/>
      <c r="DB4" s="363"/>
      <c r="DC4" s="363"/>
      <c r="DD4" s="363"/>
      <c r="DE4" s="363"/>
      <c r="DF4" s="363"/>
      <c r="DG4" s="363"/>
      <c r="DH4" s="363"/>
      <c r="DI4" s="363"/>
      <c r="DJ4" s="363"/>
      <c r="DK4" s="363"/>
      <c r="DL4" s="363"/>
      <c r="DM4" s="363"/>
      <c r="DN4" s="363"/>
      <c r="DO4" s="363"/>
      <c r="DP4" s="363"/>
      <c r="DQ4" s="369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3"/>
      <c r="EF4" s="363"/>
      <c r="EG4" s="363"/>
      <c r="EH4" s="363"/>
      <c r="EI4" s="363"/>
      <c r="EJ4" s="363"/>
      <c r="EK4" s="363"/>
      <c r="EL4" s="363"/>
      <c r="EM4" s="363"/>
      <c r="EN4" s="363"/>
      <c r="EO4" s="363"/>
      <c r="EP4" s="363"/>
      <c r="EQ4" s="363"/>
      <c r="ER4" s="363"/>
      <c r="ES4" s="363"/>
      <c r="ET4" s="363"/>
      <c r="EU4" s="363"/>
    </row>
    <row r="5" spans="1:154" s="6" customFormat="1">
      <c r="A5" s="367"/>
      <c r="B5" s="368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4" s="74" customFormat="1" ht="15" customHeight="1">
      <c r="A6" s="252"/>
      <c r="B6" s="1" t="s">
        <v>402</v>
      </c>
      <c r="EV6" s="1"/>
      <c r="EW6" s="1"/>
      <c r="EX6" s="1"/>
    </row>
    <row r="7" spans="1:154" s="74" customFormat="1">
      <c r="A7" s="253"/>
      <c r="B7" s="1" t="s">
        <v>272</v>
      </c>
      <c r="EV7" s="1"/>
      <c r="EW7" s="1"/>
      <c r="EX7" s="1"/>
    </row>
    <row r="8" spans="1:154" s="74" customFormat="1" ht="15" customHeight="1">
      <c r="A8" s="254"/>
      <c r="B8" s="1" t="s">
        <v>1</v>
      </c>
      <c r="EV8" s="1"/>
      <c r="EW8" s="1"/>
      <c r="EX8" s="1"/>
    </row>
    <row r="9" spans="1:154" s="74" customFormat="1" ht="15" customHeight="1">
      <c r="A9" s="255"/>
      <c r="B9" s="1" t="s">
        <v>1139</v>
      </c>
      <c r="EV9" s="1"/>
      <c r="EW9" s="1"/>
      <c r="EX9" s="1"/>
    </row>
    <row r="10" spans="1:154" s="74" customFormat="1">
      <c r="A10" s="256"/>
      <c r="B10" s="1" t="s">
        <v>465</v>
      </c>
      <c r="EV10" s="1"/>
      <c r="EW10" s="1"/>
      <c r="EX10" s="1"/>
    </row>
    <row r="11" spans="1:154" s="74" customFormat="1">
      <c r="A11" s="256"/>
      <c r="B11" s="1" t="s">
        <v>481</v>
      </c>
      <c r="EV11" s="1"/>
      <c r="EW11" s="1"/>
      <c r="EX11" s="1"/>
    </row>
    <row r="12" spans="1:154" s="74" customFormat="1">
      <c r="A12" s="256"/>
      <c r="B12" s="1" t="s">
        <v>1140</v>
      </c>
      <c r="EV12" s="1"/>
      <c r="EW12" s="1"/>
      <c r="EX12" s="1"/>
    </row>
    <row r="13" spans="1:154" s="74" customFormat="1">
      <c r="A13" s="257"/>
      <c r="B13" s="1" t="s">
        <v>1141</v>
      </c>
      <c r="EV13" s="1"/>
      <c r="EW13" s="1"/>
      <c r="EX13" s="1"/>
    </row>
    <row r="14" spans="1:154" s="74" customFormat="1" ht="15" customHeight="1">
      <c r="A14" s="254"/>
      <c r="B14" s="1" t="s">
        <v>1</v>
      </c>
      <c r="EV14" s="1"/>
      <c r="EW14" s="1"/>
      <c r="EX14" s="1"/>
    </row>
    <row r="15" spans="1:154" s="74" customFormat="1" ht="15" customHeight="1">
      <c r="A15" s="252"/>
      <c r="B15" s="1" t="s">
        <v>402</v>
      </c>
      <c r="EV15" s="1"/>
      <c r="EW15" s="1"/>
      <c r="EX15" s="1"/>
    </row>
    <row r="16" spans="1:154" s="74" customFormat="1">
      <c r="A16" s="253"/>
      <c r="B16" s="1" t="s">
        <v>273</v>
      </c>
      <c r="EV16" s="1"/>
      <c r="EW16" s="1"/>
      <c r="EX16" s="1"/>
    </row>
    <row r="17" spans="1:154" s="74" customFormat="1" ht="15" customHeight="1">
      <c r="A17" s="254"/>
      <c r="B17" s="1" t="s">
        <v>1</v>
      </c>
      <c r="EV17" s="1"/>
      <c r="EW17" s="1"/>
      <c r="EX17" s="1"/>
    </row>
    <row r="18" spans="1:154" s="74" customFormat="1" ht="15" customHeight="1">
      <c r="A18" s="255"/>
      <c r="B18" s="1" t="s">
        <v>1142</v>
      </c>
      <c r="EV18" s="1"/>
      <c r="EW18" s="1"/>
      <c r="EX18" s="1"/>
    </row>
    <row r="19" spans="1:154" s="74" customFormat="1">
      <c r="A19" s="256"/>
      <c r="B19" s="1" t="s">
        <v>1143</v>
      </c>
      <c r="EV19" s="1"/>
      <c r="EW19" s="1"/>
      <c r="EX19" s="1"/>
    </row>
    <row r="20" spans="1:154" s="74" customFormat="1">
      <c r="A20" s="256"/>
      <c r="B20" s="1" t="s">
        <v>481</v>
      </c>
      <c r="EV20" s="1"/>
      <c r="EW20" s="1"/>
      <c r="EX20" s="1"/>
    </row>
    <row r="21" spans="1:154" s="74" customFormat="1">
      <c r="A21" s="256"/>
      <c r="B21" s="1" t="s">
        <v>1144</v>
      </c>
      <c r="EV21" s="1"/>
      <c r="EW21" s="1"/>
      <c r="EX21" s="1"/>
    </row>
    <row r="22" spans="1:154" s="74" customFormat="1">
      <c r="A22" s="257"/>
      <c r="B22" s="1" t="s">
        <v>1145</v>
      </c>
      <c r="EV22" s="1"/>
      <c r="EW22" s="1"/>
      <c r="EX22" s="1"/>
    </row>
    <row r="23" spans="1:154" s="74" customFormat="1" ht="15" customHeight="1">
      <c r="A23" s="254"/>
      <c r="B23" s="1" t="s">
        <v>1</v>
      </c>
      <c r="EV23" s="1"/>
      <c r="EW23" s="1"/>
      <c r="EX23" s="1"/>
    </row>
    <row r="24" spans="1:154" s="74" customFormat="1">
      <c r="A24" s="251"/>
      <c r="B24" s="1" t="s">
        <v>402</v>
      </c>
      <c r="EV24" s="1"/>
      <c r="EW24" s="1"/>
      <c r="EX24" s="1"/>
    </row>
    <row r="25" spans="1:154" s="74" customFormat="1">
      <c r="A25" s="251"/>
      <c r="B25" s="1" t="s">
        <v>1146</v>
      </c>
      <c r="EV25" s="1"/>
      <c r="EW25" s="1"/>
      <c r="EX25" s="1"/>
    </row>
    <row r="26" spans="1:154" s="74" customFormat="1" ht="15" customHeight="1">
      <c r="A26" s="254"/>
      <c r="B26" s="1" t="s">
        <v>1</v>
      </c>
      <c r="EV26" s="1"/>
      <c r="EW26" s="1"/>
      <c r="EX26" s="1"/>
    </row>
    <row r="27" spans="1:154" s="74" customFormat="1" ht="15" customHeight="1">
      <c r="A27" s="255"/>
      <c r="B27" s="1" t="s">
        <v>1147</v>
      </c>
      <c r="EV27" s="1"/>
      <c r="EW27" s="1"/>
      <c r="EX27" s="1"/>
    </row>
    <row r="28" spans="1:154" s="74" customFormat="1">
      <c r="A28" s="256"/>
      <c r="B28" s="1" t="s">
        <v>465</v>
      </c>
      <c r="EV28" s="1"/>
      <c r="EW28" s="1"/>
      <c r="EX28" s="1"/>
    </row>
    <row r="29" spans="1:154" s="74" customFormat="1">
      <c r="A29" s="256"/>
      <c r="B29" s="1" t="s">
        <v>481</v>
      </c>
      <c r="EV29" s="1"/>
      <c r="EW29" s="1"/>
      <c r="EX29" s="1"/>
    </row>
    <row r="30" spans="1:154" s="74" customFormat="1">
      <c r="A30" s="256"/>
      <c r="B30" s="1" t="s">
        <v>1148</v>
      </c>
      <c r="EV30" s="1"/>
      <c r="EW30" s="1"/>
      <c r="EX30" s="1"/>
    </row>
    <row r="31" spans="1:154" s="74" customFormat="1">
      <c r="A31" s="257"/>
      <c r="B31" s="1" t="s">
        <v>1149</v>
      </c>
      <c r="EV31" s="1"/>
      <c r="EW31" s="1"/>
      <c r="EX31" s="1"/>
    </row>
    <row r="32" spans="1:154" s="74" customFormat="1" ht="15" customHeight="1">
      <c r="A32" s="254"/>
      <c r="B32" s="1" t="s">
        <v>1</v>
      </c>
      <c r="EV32" s="1"/>
      <c r="EW32" s="1"/>
      <c r="EX32" s="1"/>
    </row>
    <row r="33" spans="1:154" s="74" customFormat="1" ht="15" customHeight="1">
      <c r="A33" s="252"/>
      <c r="B33" s="1" t="s">
        <v>402</v>
      </c>
      <c r="EV33" s="1"/>
      <c r="EW33" s="1"/>
      <c r="EX33" s="1"/>
    </row>
    <row r="34" spans="1:154" s="74" customFormat="1">
      <c r="A34" s="253"/>
      <c r="B34" s="1" t="s">
        <v>1150</v>
      </c>
      <c r="EV34" s="1"/>
      <c r="EW34" s="1"/>
      <c r="EX34" s="1"/>
    </row>
    <row r="35" spans="1:154" s="74" customFormat="1" ht="15" customHeight="1">
      <c r="A35" s="254"/>
      <c r="B35" s="1" t="s">
        <v>1</v>
      </c>
      <c r="EV35" s="1"/>
      <c r="EW35" s="1"/>
      <c r="EX35" s="1"/>
    </row>
    <row r="36" spans="1:154" s="74" customFormat="1" ht="15" customHeight="1">
      <c r="A36" s="252"/>
      <c r="B36" s="1" t="s">
        <v>1151</v>
      </c>
      <c r="EV36" s="1"/>
      <c r="EW36" s="1"/>
      <c r="EX36" s="1"/>
    </row>
    <row r="37" spans="1:154" s="74" customFormat="1">
      <c r="A37" s="253"/>
      <c r="B37" s="1" t="s">
        <v>1152</v>
      </c>
      <c r="EV37" s="1"/>
      <c r="EW37" s="1"/>
      <c r="EX37" s="1"/>
    </row>
    <row r="38" spans="1:154" s="74" customFormat="1" ht="15" customHeight="1">
      <c r="A38" s="254"/>
      <c r="B38" s="1" t="s">
        <v>1</v>
      </c>
      <c r="EV38" s="1"/>
      <c r="EW38" s="1"/>
      <c r="EX38" s="1"/>
    </row>
    <row r="39" spans="1:154" s="74" customFormat="1" ht="15" customHeight="1">
      <c r="A39" s="252"/>
      <c r="B39" s="1" t="s">
        <v>1153</v>
      </c>
      <c r="EV39" s="1"/>
      <c r="EW39" s="1"/>
      <c r="EX39" s="1"/>
    </row>
    <row r="40" spans="1:154" s="74" customFormat="1">
      <c r="A40" s="253"/>
      <c r="B40" s="1" t="s">
        <v>1154</v>
      </c>
      <c r="EV40" s="1"/>
      <c r="EW40" s="1"/>
      <c r="EX40" s="1"/>
    </row>
    <row r="41" spans="1:154" s="74" customFormat="1" ht="15" customHeight="1">
      <c r="A41" s="254"/>
      <c r="B41" s="1" t="s">
        <v>1</v>
      </c>
      <c r="EV41" s="1"/>
      <c r="EW41" s="1"/>
      <c r="EX41" s="1"/>
    </row>
    <row r="42" spans="1:154" s="74" customFormat="1" ht="15" customHeight="1">
      <c r="A42" s="252"/>
      <c r="B42" s="1" t="s">
        <v>402</v>
      </c>
      <c r="EV42" s="1"/>
      <c r="EW42" s="1"/>
      <c r="EX42" s="1"/>
    </row>
    <row r="43" spans="1:154" s="74" customFormat="1">
      <c r="A43" s="253"/>
      <c r="B43" s="1" t="s">
        <v>1155</v>
      </c>
      <c r="EV43" s="1"/>
      <c r="EW43" s="1"/>
      <c r="EX43" s="1"/>
    </row>
    <row r="44" spans="1:154" s="74" customFormat="1" ht="15" customHeight="1">
      <c r="A44" s="254"/>
      <c r="B44" s="1" t="s">
        <v>1</v>
      </c>
      <c r="EV44" s="1"/>
      <c r="EW44" s="1"/>
      <c r="EX44" s="1"/>
    </row>
    <row r="45" spans="1:154" s="74" customFormat="1" ht="15" customHeight="1">
      <c r="A45" s="252"/>
      <c r="B45" s="1" t="s">
        <v>402</v>
      </c>
      <c r="EV45" s="1"/>
      <c r="EW45" s="1"/>
      <c r="EX45" s="1"/>
    </row>
    <row r="46" spans="1:154" s="74" customFormat="1">
      <c r="A46" s="253"/>
      <c r="B46" s="1" t="s">
        <v>1157</v>
      </c>
      <c r="EV46" s="1"/>
      <c r="EW46" s="1"/>
      <c r="EX46" s="1"/>
    </row>
    <row r="47" spans="1:154" s="74" customFormat="1" ht="15" customHeight="1">
      <c r="A47" s="254"/>
      <c r="B47" s="1" t="s">
        <v>1</v>
      </c>
      <c r="EV47" s="1"/>
      <c r="EW47" s="1"/>
      <c r="EX47" s="1"/>
    </row>
    <row r="48" spans="1:154" s="74" customFormat="1" ht="15" customHeight="1">
      <c r="A48" s="255"/>
      <c r="B48" s="1" t="s">
        <v>1159</v>
      </c>
      <c r="EV48" s="1"/>
      <c r="EW48" s="1"/>
      <c r="EX48" s="1"/>
    </row>
    <row r="49" spans="1:154" s="74" customFormat="1">
      <c r="A49" s="256"/>
      <c r="B49" s="1" t="s">
        <v>498</v>
      </c>
      <c r="EV49" s="1"/>
      <c r="EW49" s="1"/>
      <c r="EX49" s="1"/>
    </row>
    <row r="50" spans="1:154" s="74" customFormat="1">
      <c r="A50" s="256"/>
      <c r="B50" s="1" t="s">
        <v>481</v>
      </c>
      <c r="EV50" s="1"/>
      <c r="EW50" s="1"/>
      <c r="EX50" s="1"/>
    </row>
    <row r="51" spans="1:154" s="74" customFormat="1">
      <c r="A51" s="256"/>
      <c r="B51" s="1" t="s">
        <v>1160</v>
      </c>
      <c r="EV51" s="1"/>
      <c r="EW51" s="1"/>
      <c r="EX51" s="1"/>
    </row>
    <row r="52" spans="1:154" s="74" customFormat="1">
      <c r="A52" s="257"/>
      <c r="B52" s="1" t="s">
        <v>1149</v>
      </c>
      <c r="EV52" s="1"/>
      <c r="EW52" s="1"/>
      <c r="EX52" s="1"/>
    </row>
    <row r="53" spans="1:154" s="74" customFormat="1" ht="15" customHeight="1">
      <c r="A53" s="254"/>
      <c r="B53" s="1" t="s">
        <v>1</v>
      </c>
      <c r="EV53" s="1"/>
      <c r="EW53" s="1"/>
      <c r="EX53" s="1"/>
    </row>
    <row r="54" spans="1:154" s="74" customFormat="1" ht="15" customHeight="1">
      <c r="A54" s="252"/>
      <c r="B54" s="1" t="s">
        <v>403</v>
      </c>
      <c r="EV54" s="1"/>
      <c r="EW54" s="1"/>
      <c r="EX54" s="1"/>
    </row>
    <row r="55" spans="1:154" s="74" customFormat="1">
      <c r="A55" s="253"/>
      <c r="B55" s="1" t="s">
        <v>1161</v>
      </c>
      <c r="EV55" s="1"/>
      <c r="EW55" s="1"/>
      <c r="EX55" s="1"/>
    </row>
    <row r="56" spans="1:154" s="74" customFormat="1" ht="15" customHeight="1">
      <c r="A56" s="254"/>
      <c r="B56" s="1" t="s">
        <v>1</v>
      </c>
      <c r="EV56" s="1"/>
      <c r="EW56" s="1"/>
      <c r="EX56" s="1"/>
    </row>
    <row r="57" spans="1:154" s="74" customFormat="1">
      <c r="A57" s="258"/>
      <c r="B57" s="1" t="s">
        <v>1162</v>
      </c>
      <c r="EV57" s="1"/>
      <c r="EW57" s="1"/>
      <c r="EX57" s="1"/>
    </row>
    <row r="58" spans="1:154" s="74" customFormat="1">
      <c r="A58" s="259"/>
      <c r="B58" s="1" t="s">
        <v>283</v>
      </c>
      <c r="EV58" s="1"/>
      <c r="EW58" s="1"/>
      <c r="EX58" s="1"/>
    </row>
    <row r="59" spans="1:154" s="74" customFormat="1" ht="15" customHeight="1">
      <c r="A59" s="254"/>
      <c r="B59" s="1" t="s">
        <v>1</v>
      </c>
      <c r="EV59" s="1"/>
      <c r="EW59" s="1"/>
      <c r="EX59" s="1"/>
    </row>
    <row r="60" spans="1:154" s="74" customFormat="1">
      <c r="A60" s="258"/>
      <c r="B60" s="1" t="s">
        <v>1163</v>
      </c>
      <c r="EV60" s="1"/>
      <c r="EW60" s="1"/>
      <c r="EX60" s="1"/>
    </row>
    <row r="61" spans="1:154" s="74" customFormat="1">
      <c r="A61" s="259"/>
      <c r="B61" s="1" t="s">
        <v>285</v>
      </c>
      <c r="EV61" s="1"/>
      <c r="EW61" s="1"/>
      <c r="EX61" s="1"/>
    </row>
    <row r="62" spans="1:154" s="74" customFormat="1" ht="15" customHeight="1">
      <c r="A62" s="254"/>
      <c r="B62" s="1" t="s">
        <v>1</v>
      </c>
      <c r="EV62" s="1"/>
      <c r="EW62" s="1"/>
      <c r="EX62" s="1"/>
    </row>
    <row r="63" spans="1:154" s="74" customFormat="1">
      <c r="A63" s="258"/>
      <c r="B63" s="1" t="s">
        <v>1165</v>
      </c>
      <c r="EV63" s="1"/>
      <c r="EW63" s="1"/>
      <c r="EX63" s="1"/>
    </row>
    <row r="64" spans="1:154" s="74" customFormat="1">
      <c r="A64" s="259"/>
      <c r="B64" s="1" t="s">
        <v>1166</v>
      </c>
      <c r="EV64" s="1"/>
      <c r="EW64" s="1"/>
      <c r="EX64" s="1"/>
    </row>
    <row r="65" spans="1:154" s="74" customFormat="1" ht="15" customHeight="1">
      <c r="A65" s="254"/>
      <c r="B65" s="1" t="s">
        <v>1</v>
      </c>
      <c r="EV65" s="1"/>
      <c r="EW65" s="1"/>
      <c r="EX65" s="1"/>
    </row>
    <row r="66" spans="1:154" s="74" customFormat="1">
      <c r="A66" s="258"/>
      <c r="B66" s="1" t="s">
        <v>1168</v>
      </c>
      <c r="EV66" s="1"/>
      <c r="EW66" s="1"/>
      <c r="EX66" s="1"/>
    </row>
    <row r="67" spans="1:154" s="74" customFormat="1">
      <c r="A67" s="259"/>
      <c r="B67" s="1" t="s">
        <v>1169</v>
      </c>
      <c r="EV67" s="1"/>
      <c r="EW67" s="1"/>
      <c r="EX67" s="1"/>
    </row>
    <row r="68" spans="1:154" s="74" customFormat="1" ht="15" customHeight="1">
      <c r="A68" s="254"/>
      <c r="B68" s="1" t="s">
        <v>1</v>
      </c>
      <c r="EV68" s="1"/>
      <c r="EW68" s="1"/>
      <c r="EX68" s="1"/>
    </row>
    <row r="69" spans="1:154" s="74" customFormat="1">
      <c r="A69" s="258"/>
      <c r="B69" s="1" t="s">
        <v>1170</v>
      </c>
      <c r="EV69" s="1"/>
      <c r="EW69" s="1"/>
      <c r="EX69" s="1"/>
    </row>
    <row r="70" spans="1:154" s="74" customFormat="1">
      <c r="A70" s="259"/>
      <c r="B70" s="1" t="s">
        <v>1171</v>
      </c>
      <c r="EV70" s="1"/>
      <c r="EW70" s="1"/>
      <c r="EX70" s="1"/>
    </row>
    <row r="71" spans="1:154" s="74" customFormat="1" ht="15" customHeight="1">
      <c r="A71" s="254"/>
      <c r="B71" s="1" t="s">
        <v>1</v>
      </c>
      <c r="EV71" s="1"/>
      <c r="EW71" s="1"/>
      <c r="EX71" s="1"/>
    </row>
    <row r="72" spans="1:154" s="74" customFormat="1">
      <c r="A72" s="258"/>
      <c r="B72" s="1" t="s">
        <v>1173</v>
      </c>
      <c r="EV72" s="1"/>
      <c r="EW72" s="1"/>
      <c r="EX72" s="1"/>
    </row>
    <row r="73" spans="1:154" s="74" customFormat="1">
      <c r="A73" s="259"/>
      <c r="B73" s="1" t="s">
        <v>293</v>
      </c>
      <c r="EV73" s="1"/>
      <c r="EW73" s="1"/>
      <c r="EX73" s="1"/>
    </row>
    <row r="74" spans="1:154" s="74" customFormat="1" ht="15" customHeight="1">
      <c r="A74" s="254"/>
      <c r="B74" s="1" t="s">
        <v>1</v>
      </c>
      <c r="EV74" s="1"/>
      <c r="EW74" s="1"/>
      <c r="EX74" s="1"/>
    </row>
    <row r="75" spans="1:154" s="74" customFormat="1">
      <c r="A75" s="258"/>
      <c r="B75" s="1" t="s">
        <v>1175</v>
      </c>
      <c r="EV75" s="1"/>
      <c r="EW75" s="1"/>
      <c r="EX75" s="1"/>
    </row>
    <row r="76" spans="1:154" s="74" customFormat="1">
      <c r="A76" s="259"/>
      <c r="B76" s="1" t="s">
        <v>295</v>
      </c>
      <c r="EV76" s="1"/>
      <c r="EW76" s="1"/>
      <c r="EX76" s="1"/>
    </row>
    <row r="77" spans="1:154" s="74" customFormat="1" ht="15" customHeight="1">
      <c r="A77" s="254"/>
      <c r="B77" s="1" t="s">
        <v>1</v>
      </c>
      <c r="EV77" s="1"/>
      <c r="EW77" s="1"/>
      <c r="EX77" s="1"/>
    </row>
    <row r="78" spans="1:154" s="74" customFormat="1">
      <c r="A78" s="258"/>
      <c r="B78" s="1" t="s">
        <v>1178</v>
      </c>
      <c r="EV78" s="1"/>
      <c r="EW78" s="1"/>
      <c r="EX78" s="1"/>
    </row>
    <row r="79" spans="1:154" s="74" customFormat="1">
      <c r="A79" s="259"/>
      <c r="B79" s="1" t="s">
        <v>1169</v>
      </c>
      <c r="EV79" s="1"/>
      <c r="EW79" s="1"/>
      <c r="EX79" s="1"/>
    </row>
    <row r="80" spans="1:154" s="74" customFormat="1" ht="15" customHeight="1">
      <c r="A80" s="254"/>
      <c r="B80" s="1" t="s">
        <v>1</v>
      </c>
      <c r="EV80" s="1"/>
      <c r="EW80" s="1"/>
      <c r="EX80" s="1"/>
    </row>
    <row r="81" spans="1:154" s="74" customFormat="1">
      <c r="A81" s="258"/>
      <c r="B81" s="1" t="s">
        <v>1179</v>
      </c>
      <c r="EV81" s="1"/>
      <c r="EW81" s="1"/>
      <c r="EX81" s="1"/>
    </row>
    <row r="82" spans="1:154" s="74" customFormat="1">
      <c r="A82" s="259"/>
      <c r="B82" s="1" t="s">
        <v>1171</v>
      </c>
      <c r="EV82" s="1"/>
      <c r="EW82" s="1"/>
      <c r="EX82" s="1"/>
    </row>
    <row r="83" spans="1:154" s="74" customFormat="1" ht="15" customHeight="1">
      <c r="A83" s="254"/>
      <c r="B83" s="1" t="s">
        <v>1</v>
      </c>
      <c r="EV83" s="1"/>
      <c r="EW83" s="1"/>
      <c r="EX83" s="1"/>
    </row>
    <row r="84" spans="1:154" s="74" customFormat="1">
      <c r="A84" s="258"/>
      <c r="B84" s="1" t="s">
        <v>1180</v>
      </c>
      <c r="EV84" s="1"/>
      <c r="EW84" s="1"/>
      <c r="EX84" s="1"/>
    </row>
    <row r="85" spans="1:154" s="74" customFormat="1">
      <c r="A85" s="259"/>
      <c r="B85" s="1" t="s">
        <v>1171</v>
      </c>
      <c r="EV85" s="1"/>
      <c r="EW85" s="1"/>
      <c r="EX85" s="1"/>
    </row>
    <row r="86" spans="1:154" s="74" customFormat="1" ht="15" customHeight="1">
      <c r="A86" s="254"/>
      <c r="B86" s="1" t="s">
        <v>1</v>
      </c>
      <c r="EV86" s="1"/>
      <c r="EW86" s="1"/>
      <c r="EX86" s="1"/>
    </row>
    <row r="87" spans="1:154" s="74" customFormat="1">
      <c r="A87" s="258"/>
      <c r="B87" s="1" t="s">
        <v>1181</v>
      </c>
      <c r="EV87" s="1"/>
      <c r="EW87" s="1"/>
      <c r="EX87" s="1"/>
    </row>
    <row r="88" spans="1:154" s="74" customFormat="1">
      <c r="A88" s="259"/>
      <c r="B88" s="1" t="s">
        <v>1171</v>
      </c>
      <c r="EV88" s="1"/>
      <c r="EW88" s="1"/>
      <c r="EX88" s="1"/>
    </row>
    <row r="89" spans="1:154" s="74" customFormat="1" ht="15" customHeight="1">
      <c r="A89" s="254"/>
      <c r="B89" s="1" t="s">
        <v>1</v>
      </c>
      <c r="EV89" s="1"/>
      <c r="EW89" s="1"/>
      <c r="EX89" s="1"/>
    </row>
    <row r="90" spans="1:154" s="74" customFormat="1">
      <c r="A90" s="258"/>
      <c r="B90" s="1" t="s">
        <v>1182</v>
      </c>
      <c r="EV90" s="1"/>
      <c r="EW90" s="1"/>
      <c r="EX90" s="1"/>
    </row>
    <row r="91" spans="1:154" s="74" customFormat="1">
      <c r="A91" s="259"/>
      <c r="B91" s="1" t="s">
        <v>293</v>
      </c>
      <c r="EV91" s="1"/>
      <c r="EW91" s="1"/>
      <c r="EX91" s="1"/>
    </row>
    <row r="92" spans="1:154" s="74" customFormat="1" ht="15" customHeight="1">
      <c r="A92" s="254"/>
      <c r="B92" s="1" t="s">
        <v>1</v>
      </c>
      <c r="EV92" s="1"/>
      <c r="EW92" s="1"/>
      <c r="EX92" s="1"/>
    </row>
    <row r="93" spans="1:154" s="74" customFormat="1">
      <c r="A93" s="258"/>
      <c r="B93" s="1" t="s">
        <v>1183</v>
      </c>
      <c r="EV93" s="1"/>
      <c r="EW93" s="1"/>
      <c r="EX93" s="1"/>
    </row>
    <row r="94" spans="1:154" s="74" customFormat="1">
      <c r="A94" s="259"/>
      <c r="B94" s="1" t="s">
        <v>1184</v>
      </c>
      <c r="EV94" s="1"/>
      <c r="EW94" s="1"/>
      <c r="EX94" s="1"/>
    </row>
    <row r="95" spans="1:154" s="74" customFormat="1" ht="15" customHeight="1">
      <c r="A95" s="254"/>
      <c r="B95" s="1" t="s">
        <v>1</v>
      </c>
      <c r="EV95" s="1"/>
      <c r="EW95" s="1"/>
      <c r="EX95" s="1"/>
    </row>
    <row r="96" spans="1:154" s="74" customFormat="1">
      <c r="A96" s="258"/>
      <c r="B96" s="260" t="s">
        <v>1185</v>
      </c>
      <c r="EV96" s="1"/>
      <c r="EW96" s="1"/>
      <c r="EX96" s="1"/>
    </row>
    <row r="97" spans="1:154" s="74" customFormat="1">
      <c r="A97" s="259"/>
      <c r="B97" s="260" t="s">
        <v>1186</v>
      </c>
      <c r="EV97" s="1"/>
      <c r="EW97" s="1"/>
      <c r="EX97" s="1"/>
    </row>
    <row r="98" spans="1:154" s="74" customFormat="1" ht="15" customHeight="1">
      <c r="A98" s="254"/>
      <c r="B98" s="1" t="s">
        <v>1</v>
      </c>
      <c r="EV98" s="1"/>
      <c r="EW98" s="1"/>
      <c r="EX98" s="1"/>
    </row>
    <row r="99" spans="1:154" s="74" customFormat="1">
      <c r="A99" s="258"/>
      <c r="B99" s="1" t="s">
        <v>1187</v>
      </c>
      <c r="EV99" s="1"/>
      <c r="EW99" s="1"/>
      <c r="EX99" s="1"/>
    </row>
    <row r="100" spans="1:154" s="74" customFormat="1">
      <c r="A100" s="259"/>
      <c r="B100" s="1" t="s">
        <v>1110</v>
      </c>
      <c r="EV100" s="1"/>
      <c r="EW100" s="1"/>
      <c r="EX100" s="1"/>
    </row>
    <row r="101" spans="1:154" s="74" customFormat="1" ht="15" customHeight="1">
      <c r="A101" s="254"/>
      <c r="B101" s="1" t="s">
        <v>1</v>
      </c>
      <c r="EV101" s="1"/>
      <c r="EW101" s="1"/>
      <c r="EX101" s="1"/>
    </row>
    <row r="102" spans="1:154" s="74" customFormat="1">
      <c r="A102" s="258"/>
      <c r="B102" s="1" t="s">
        <v>402</v>
      </c>
      <c r="EV102" s="1"/>
      <c r="EW102" s="1"/>
      <c r="EX102" s="1"/>
    </row>
    <row r="103" spans="1:154" s="74" customFormat="1">
      <c r="A103" s="259"/>
      <c r="B103" s="1" t="s">
        <v>1189</v>
      </c>
      <c r="EV103" s="1"/>
      <c r="EW103" s="1"/>
      <c r="EX103" s="1"/>
    </row>
    <row r="104" spans="1:154" s="74" customFormat="1" ht="15" customHeight="1">
      <c r="A104" s="254"/>
      <c r="B104" s="1" t="s">
        <v>1</v>
      </c>
      <c r="EV104" s="1"/>
      <c r="EW104" s="1"/>
      <c r="EX104" s="1"/>
    </row>
    <row r="105" spans="1:154" s="74" customFormat="1">
      <c r="A105" s="258"/>
      <c r="B105" s="1" t="s">
        <v>402</v>
      </c>
      <c r="EV105" s="1"/>
      <c r="EW105" s="1"/>
      <c r="EX105" s="1"/>
    </row>
    <row r="106" spans="1:154" s="74" customFormat="1">
      <c r="A106" s="259"/>
      <c r="B106" s="1" t="s">
        <v>1190</v>
      </c>
      <c r="EV106" s="1"/>
      <c r="EW106" s="1"/>
      <c r="EX106" s="1"/>
    </row>
    <row r="107" spans="1:154" s="74" customFormat="1" ht="15" customHeight="1">
      <c r="A107" s="254"/>
      <c r="B107" s="1" t="s">
        <v>1</v>
      </c>
      <c r="EV107" s="1"/>
      <c r="EW107" s="1"/>
      <c r="EX107" s="1"/>
    </row>
    <row r="108" spans="1:154" s="74" customFormat="1">
      <c r="A108" s="258"/>
      <c r="B108" s="1" t="s">
        <v>1191</v>
      </c>
      <c r="EV108" s="1"/>
      <c r="EW108" s="1"/>
      <c r="EX108" s="1"/>
    </row>
    <row r="109" spans="1:154" s="74" customFormat="1">
      <c r="A109" s="259"/>
      <c r="B109" s="1" t="s">
        <v>1192</v>
      </c>
      <c r="EV109" s="1"/>
      <c r="EW109" s="1"/>
      <c r="EX109" s="1"/>
    </row>
    <row r="110" spans="1:154" s="74" customFormat="1" ht="15" customHeight="1">
      <c r="A110" s="254"/>
      <c r="B110" s="1" t="s">
        <v>481</v>
      </c>
      <c r="EV110" s="1"/>
      <c r="EW110" s="1"/>
      <c r="EX110" s="1"/>
    </row>
    <row r="111" spans="1:154" s="74" customFormat="1">
      <c r="A111" s="258"/>
      <c r="B111" s="1" t="s">
        <v>1193</v>
      </c>
      <c r="EV111" s="1"/>
      <c r="EW111" s="1"/>
      <c r="EX111" s="1"/>
    </row>
    <row r="112" spans="1:154" s="74" customFormat="1">
      <c r="A112" s="259"/>
      <c r="B112" s="1" t="s">
        <v>1194</v>
      </c>
      <c r="EV112" s="1"/>
      <c r="EW112" s="1"/>
      <c r="EX112" s="1"/>
    </row>
    <row r="113" spans="1:154" s="74" customFormat="1" ht="15" customHeight="1">
      <c r="A113" s="254"/>
      <c r="B113" s="1" t="s">
        <v>1</v>
      </c>
      <c r="EV113" s="1"/>
      <c r="EW113" s="1"/>
      <c r="EX113" s="1"/>
    </row>
    <row r="114" spans="1:154" s="74" customFormat="1">
      <c r="A114" s="258"/>
      <c r="B114" s="1" t="s">
        <v>402</v>
      </c>
      <c r="EV114" s="1"/>
      <c r="EW114" s="1"/>
      <c r="EX114" s="1"/>
    </row>
    <row r="115" spans="1:154" s="74" customFormat="1">
      <c r="A115" s="259"/>
      <c r="B115" s="1" t="s">
        <v>2</v>
      </c>
      <c r="EV115" s="1"/>
      <c r="EW115" s="1"/>
      <c r="EX115" s="1"/>
    </row>
    <row r="116" spans="1:154" s="74" customFormat="1" ht="15" customHeight="1">
      <c r="A116" s="254"/>
      <c r="B116" s="1" t="s">
        <v>1</v>
      </c>
      <c r="EV116" s="1"/>
      <c r="EW116" s="1"/>
      <c r="EX116" s="1"/>
    </row>
    <row r="117" spans="1:154" s="74" customFormat="1" ht="15" customHeight="1">
      <c r="A117" s="255"/>
      <c r="B117" s="1" t="s">
        <v>464</v>
      </c>
      <c r="EV117" s="1"/>
      <c r="EW117" s="1"/>
      <c r="EX117" s="1"/>
    </row>
    <row r="118" spans="1:154" s="74" customFormat="1">
      <c r="A118" s="256"/>
      <c r="B118" s="1" t="s">
        <v>465</v>
      </c>
      <c r="EV118" s="1"/>
      <c r="EW118" s="1"/>
      <c r="EX118" s="1"/>
    </row>
    <row r="119" spans="1:154" s="74" customFormat="1">
      <c r="A119" s="256"/>
      <c r="B119" s="1" t="s">
        <v>481</v>
      </c>
      <c r="EV119" s="1"/>
      <c r="EW119" s="1"/>
      <c r="EX119" s="1"/>
    </row>
    <row r="120" spans="1:154" s="74" customFormat="1">
      <c r="A120" s="256"/>
      <c r="B120" s="1" t="s">
        <v>1196</v>
      </c>
      <c r="EV120" s="1"/>
      <c r="EW120" s="1"/>
      <c r="EX120" s="1"/>
    </row>
    <row r="121" spans="1:154" s="74" customFormat="1">
      <c r="A121" s="257"/>
      <c r="B121" s="1" t="s">
        <v>1141</v>
      </c>
      <c r="EV121" s="1"/>
      <c r="EW121" s="1"/>
      <c r="EX121" s="1"/>
    </row>
    <row r="122" spans="1:154" s="74" customFormat="1">
      <c r="A122" s="160"/>
      <c r="B122" s="1" t="s">
        <v>1</v>
      </c>
      <c r="EV122" s="1"/>
      <c r="EW122" s="1"/>
      <c r="EX122" s="1"/>
    </row>
    <row r="123" spans="1:154" s="74" customFormat="1">
      <c r="A123" s="160"/>
      <c r="B123" s="1" t="s">
        <v>1197</v>
      </c>
      <c r="EV123" s="1"/>
      <c r="EW123" s="1"/>
      <c r="EX123" s="1"/>
    </row>
    <row r="124" spans="1:154" s="74" customFormat="1">
      <c r="A124" s="160"/>
      <c r="B124" s="1" t="s">
        <v>469</v>
      </c>
      <c r="EV124" s="1"/>
      <c r="EW124" s="1"/>
      <c r="EX124" s="1"/>
    </row>
    <row r="125" spans="1:154" s="74" customFormat="1">
      <c r="A125" s="160"/>
      <c r="B125" s="1" t="s">
        <v>1</v>
      </c>
      <c r="EV125" s="1"/>
      <c r="EW125" s="1"/>
      <c r="EX125" s="1"/>
    </row>
    <row r="126" spans="1:154" s="74" customFormat="1">
      <c r="A126" s="160"/>
      <c r="B126" s="1" t="s">
        <v>470</v>
      </c>
      <c r="EV126" s="1"/>
      <c r="EW126" s="1"/>
      <c r="EX126" s="1"/>
    </row>
    <row r="127" spans="1:154" s="74" customFormat="1">
      <c r="A127" s="160"/>
      <c r="B127" s="1" t="s">
        <v>465</v>
      </c>
      <c r="EV127" s="1"/>
      <c r="EW127" s="1"/>
      <c r="EX127" s="1"/>
    </row>
    <row r="128" spans="1:154" s="74" customFormat="1">
      <c r="A128" s="160"/>
      <c r="B128" s="1" t="s">
        <v>481</v>
      </c>
      <c r="EV128" s="1"/>
      <c r="EW128" s="1"/>
      <c r="EX128" s="1"/>
    </row>
    <row r="129" spans="1:154" s="74" customFormat="1">
      <c r="A129" s="160"/>
      <c r="B129" s="1" t="s">
        <v>1199</v>
      </c>
      <c r="EV129" s="1"/>
      <c r="EW129" s="1"/>
      <c r="EX129" s="1"/>
    </row>
    <row r="130" spans="1:154" s="74" customFormat="1">
      <c r="A130" s="160"/>
      <c r="B130" s="1" t="s">
        <v>1200</v>
      </c>
      <c r="EV130" s="1"/>
      <c r="EW130" s="1"/>
      <c r="EX130" s="1"/>
    </row>
    <row r="131" spans="1:154" s="74" customFormat="1">
      <c r="A131" s="160"/>
      <c r="B131" s="1" t="s">
        <v>1</v>
      </c>
      <c r="EV131" s="1"/>
      <c r="EW131" s="1"/>
      <c r="EX131" s="1"/>
    </row>
    <row r="132" spans="1:154" s="74" customFormat="1">
      <c r="A132" s="160"/>
      <c r="B132" s="1" t="s">
        <v>404</v>
      </c>
      <c r="EV132" s="1"/>
      <c r="EW132" s="1"/>
      <c r="EX132" s="1"/>
    </row>
    <row r="133" spans="1:154" s="74" customFormat="1">
      <c r="A133" s="160"/>
      <c r="B133" s="1" t="s">
        <v>405</v>
      </c>
      <c r="EV133" s="1"/>
      <c r="EW133" s="1"/>
      <c r="EX133" s="1"/>
    </row>
    <row r="134" spans="1:154" s="74" customFormat="1">
      <c r="A134" s="160"/>
      <c r="B134" s="1" t="s">
        <v>1</v>
      </c>
      <c r="EV134" s="1"/>
      <c r="EW134" s="1"/>
      <c r="EX134" s="1"/>
    </row>
    <row r="135" spans="1:154" s="74" customFormat="1">
      <c r="A135" s="160"/>
      <c r="B135" s="1" t="s">
        <v>473</v>
      </c>
      <c r="EV135" s="1"/>
      <c r="EW135" s="1"/>
      <c r="EX135" s="1"/>
    </row>
    <row r="136" spans="1:154" s="74" customFormat="1">
      <c r="A136" s="160"/>
      <c r="B136" s="1" t="s">
        <v>474</v>
      </c>
      <c r="EV136" s="1"/>
      <c r="EW136" s="1"/>
      <c r="EX136" s="1"/>
    </row>
    <row r="137" spans="1:154" s="74" customFormat="1">
      <c r="A137" s="160"/>
      <c r="B137" s="1" t="s">
        <v>481</v>
      </c>
      <c r="EV137" s="1"/>
      <c r="EW137" s="1"/>
      <c r="EX137" s="1"/>
    </row>
    <row r="138" spans="1:154" s="74" customFormat="1">
      <c r="A138" s="160"/>
      <c r="B138" s="1" t="s">
        <v>1201</v>
      </c>
      <c r="EV138" s="1"/>
      <c r="EW138" s="1"/>
      <c r="EX138" s="1"/>
    </row>
    <row r="139" spans="1:154" s="74" customFormat="1">
      <c r="A139" s="160"/>
      <c r="B139" s="1" t="s">
        <v>1202</v>
      </c>
      <c r="EV139" s="1"/>
      <c r="EW139" s="1"/>
      <c r="EX139" s="1"/>
    </row>
    <row r="140" spans="1:154" s="74" customFormat="1">
      <c r="A140" s="160"/>
      <c r="B140" s="1" t="s">
        <v>1</v>
      </c>
      <c r="EV140" s="1"/>
      <c r="EW140" s="1"/>
      <c r="EX140" s="1"/>
    </row>
    <row r="141" spans="1:154" s="74" customFormat="1">
      <c r="A141" s="160"/>
      <c r="B141" s="1" t="s">
        <v>406</v>
      </c>
      <c r="EV141" s="1"/>
      <c r="EW141" s="1"/>
      <c r="EX141" s="1"/>
    </row>
    <row r="142" spans="1:154" s="74" customFormat="1">
      <c r="A142" s="160"/>
      <c r="B142" s="1" t="s">
        <v>3</v>
      </c>
      <c r="EV142" s="1"/>
      <c r="EW142" s="1"/>
      <c r="EX142" s="1"/>
    </row>
    <row r="143" spans="1:154" s="74" customFormat="1">
      <c r="A143" s="160"/>
      <c r="B143" s="1" t="s">
        <v>1</v>
      </c>
      <c r="EV143" s="1"/>
      <c r="EW143" s="1"/>
      <c r="EX143" s="1"/>
    </row>
    <row r="144" spans="1:154" s="74" customFormat="1">
      <c r="A144" s="160"/>
      <c r="B144" s="1" t="s">
        <v>1203</v>
      </c>
      <c r="EV144" s="1"/>
      <c r="EW144" s="1"/>
      <c r="EX144" s="1"/>
    </row>
    <row r="145" spans="1:154" s="74" customFormat="1">
      <c r="A145" s="160"/>
      <c r="B145" s="1" t="s">
        <v>477</v>
      </c>
      <c r="EV145" s="1"/>
      <c r="EW145" s="1"/>
      <c r="EX145" s="1"/>
    </row>
    <row r="146" spans="1:154" s="74" customFormat="1">
      <c r="A146" s="160"/>
      <c r="B146" s="1" t="s">
        <v>1</v>
      </c>
      <c r="EV146" s="1"/>
      <c r="EW146" s="1"/>
      <c r="EX146" s="1"/>
    </row>
    <row r="147" spans="1:154" s="74" customFormat="1">
      <c r="A147" s="160"/>
      <c r="B147" s="1" t="s">
        <v>402</v>
      </c>
      <c r="EV147" s="1"/>
      <c r="EW147" s="1"/>
      <c r="EX147" s="1"/>
    </row>
    <row r="148" spans="1:154" s="74" customFormat="1">
      <c r="A148" s="160"/>
      <c r="B148" s="1" t="s">
        <v>407</v>
      </c>
      <c r="EV148" s="1"/>
      <c r="EW148" s="1"/>
      <c r="EX148" s="1"/>
    </row>
    <row r="149" spans="1:154" s="74" customFormat="1">
      <c r="A149" s="160"/>
      <c r="B149" s="1" t="s">
        <v>1</v>
      </c>
      <c r="EV149" s="1"/>
      <c r="EW149" s="1"/>
      <c r="EX149" s="1"/>
    </row>
    <row r="150" spans="1:154" s="74" customFormat="1">
      <c r="A150" s="160"/>
      <c r="B150" s="1" t="s">
        <v>403</v>
      </c>
      <c r="EV150" s="1"/>
      <c r="EW150" s="1"/>
      <c r="EX150" s="1"/>
    </row>
    <row r="151" spans="1:154" s="74" customFormat="1">
      <c r="A151" s="160"/>
      <c r="B151" s="1" t="s">
        <v>408</v>
      </c>
      <c r="EV151" s="1"/>
      <c r="EW151" s="1"/>
      <c r="EX151" s="1"/>
    </row>
    <row r="152" spans="1:154" s="74" customFormat="1">
      <c r="A152" s="160"/>
      <c r="B152" s="1" t="s">
        <v>1</v>
      </c>
      <c r="EV152" s="1"/>
      <c r="EW152" s="1"/>
      <c r="EX152" s="1"/>
    </row>
    <row r="153" spans="1:154" s="74" customFormat="1">
      <c r="A153" s="160"/>
      <c r="B153" s="1" t="s">
        <v>412</v>
      </c>
      <c r="EV153" s="1"/>
      <c r="EW153" s="1"/>
      <c r="EX153" s="1"/>
    </row>
    <row r="154" spans="1:154" s="74" customFormat="1">
      <c r="A154" s="160"/>
      <c r="B154" s="1" t="s">
        <v>478</v>
      </c>
      <c r="EV154" s="1"/>
      <c r="EW154" s="1"/>
      <c r="EX154" s="1"/>
    </row>
    <row r="155" spans="1:154" s="74" customFormat="1">
      <c r="A155" s="160"/>
      <c r="B155" s="1" t="s">
        <v>1</v>
      </c>
      <c r="EV155" s="1"/>
      <c r="EW155" s="1"/>
      <c r="EX155" s="1"/>
    </row>
    <row r="156" spans="1:154" s="74" customFormat="1">
      <c r="A156" s="160"/>
      <c r="B156" s="1" t="s">
        <v>402</v>
      </c>
      <c r="EV156" s="1"/>
      <c r="EW156" s="1"/>
      <c r="EX156" s="1"/>
    </row>
    <row r="157" spans="1:154" s="74" customFormat="1">
      <c r="A157" s="160"/>
      <c r="B157" s="1" t="s">
        <v>409</v>
      </c>
      <c r="EV157" s="1"/>
      <c r="EW157" s="1"/>
      <c r="EX157" s="1"/>
    </row>
    <row r="158" spans="1:154" s="74" customFormat="1">
      <c r="A158" s="160"/>
      <c r="B158" s="1" t="s">
        <v>1</v>
      </c>
      <c r="EV158" s="1"/>
      <c r="EW158" s="1"/>
      <c r="EX158" s="1"/>
    </row>
    <row r="159" spans="1:154" s="74" customFormat="1">
      <c r="A159" s="160"/>
      <c r="B159" s="1" t="s">
        <v>402</v>
      </c>
      <c r="EV159" s="1"/>
      <c r="EW159" s="1"/>
      <c r="EX159" s="1"/>
    </row>
    <row r="160" spans="1:154" s="74" customFormat="1">
      <c r="A160" s="160"/>
      <c r="B160" s="1" t="s">
        <v>410</v>
      </c>
      <c r="EV160" s="1"/>
      <c r="EW160" s="1"/>
      <c r="EX160" s="1"/>
    </row>
    <row r="161" spans="1:154" s="74" customFormat="1">
      <c r="A161" s="160"/>
      <c r="B161" s="1" t="s">
        <v>1</v>
      </c>
      <c r="EV161" s="1"/>
      <c r="EW161" s="1"/>
      <c r="EX161" s="1"/>
    </row>
    <row r="162" spans="1:154" s="74" customFormat="1">
      <c r="A162" s="160"/>
      <c r="B162" s="1" t="s">
        <v>479</v>
      </c>
      <c r="EV162" s="1"/>
      <c r="EW162" s="1"/>
      <c r="EX162" s="1"/>
    </row>
    <row r="163" spans="1:154" s="74" customFormat="1">
      <c r="A163" s="160"/>
      <c r="B163" s="1" t="s">
        <v>480</v>
      </c>
      <c r="EV163" s="1"/>
      <c r="EW163" s="1"/>
      <c r="EX163" s="1"/>
    </row>
    <row r="164" spans="1:154" s="74" customFormat="1">
      <c r="A164" s="160"/>
      <c r="B164" s="1" t="s">
        <v>481</v>
      </c>
      <c r="EV164" s="1"/>
      <c r="EW164" s="1"/>
      <c r="EX164" s="1"/>
    </row>
    <row r="165" spans="1:154" s="74" customFormat="1">
      <c r="A165" s="160"/>
      <c r="B165" s="1" t="s">
        <v>482</v>
      </c>
      <c r="EV165" s="1"/>
      <c r="EW165" s="1"/>
      <c r="EX165" s="1"/>
    </row>
    <row r="166" spans="1:154" s="74" customFormat="1">
      <c r="A166" s="160"/>
      <c r="B166" s="1" t="s">
        <v>1204</v>
      </c>
      <c r="EV166" s="1"/>
      <c r="EW166" s="1"/>
      <c r="EX166" s="1"/>
    </row>
    <row r="167" spans="1:154" s="74" customFormat="1">
      <c r="A167" s="160"/>
      <c r="B167" s="1" t="s">
        <v>481</v>
      </c>
      <c r="EV167" s="1"/>
      <c r="EW167" s="1"/>
      <c r="EX167" s="1"/>
    </row>
    <row r="168" spans="1:154" s="74" customFormat="1">
      <c r="A168" s="160"/>
      <c r="B168" s="1" t="s">
        <v>1205</v>
      </c>
      <c r="EV168" s="1"/>
      <c r="EW168" s="1"/>
      <c r="EX168" s="1"/>
    </row>
    <row r="169" spans="1:154" s="74" customFormat="1">
      <c r="A169" s="160"/>
      <c r="B169" s="1" t="s">
        <v>485</v>
      </c>
      <c r="EV169" s="1"/>
      <c r="EW169" s="1"/>
      <c r="EX169" s="1"/>
    </row>
    <row r="170" spans="1:154" s="74" customFormat="1">
      <c r="A170" s="160"/>
      <c r="B170" s="1" t="s">
        <v>1</v>
      </c>
      <c r="EV170" s="1"/>
      <c r="EW170" s="1"/>
      <c r="EX170" s="1"/>
    </row>
    <row r="171" spans="1:154" s="74" customFormat="1">
      <c r="A171" s="160"/>
      <c r="B171" s="1" t="s">
        <v>1203</v>
      </c>
      <c r="EV171" s="1"/>
      <c r="EW171" s="1"/>
      <c r="EX171" s="1"/>
    </row>
    <row r="172" spans="1:154" s="74" customFormat="1">
      <c r="A172" s="160"/>
      <c r="B172" s="1" t="s">
        <v>486</v>
      </c>
      <c r="EV172" s="1"/>
      <c r="EW172" s="1"/>
      <c r="EX172" s="1"/>
    </row>
    <row r="173" spans="1:154" s="74" customFormat="1">
      <c r="A173" s="160"/>
      <c r="B173" s="1" t="s">
        <v>1</v>
      </c>
      <c r="EV173" s="1"/>
      <c r="EW173" s="1"/>
      <c r="EX173" s="1"/>
    </row>
    <row r="174" spans="1:154" s="74" customFormat="1">
      <c r="A174" s="160"/>
      <c r="B174" s="1" t="s">
        <v>411</v>
      </c>
      <c r="EV174" s="1"/>
      <c r="EW174" s="1"/>
      <c r="EX174" s="1"/>
    </row>
    <row r="175" spans="1:154" s="74" customFormat="1">
      <c r="A175" s="160"/>
      <c r="B175" s="1" t="s">
        <v>4</v>
      </c>
      <c r="EV175" s="1"/>
      <c r="EW175" s="1"/>
      <c r="EX175" s="1"/>
    </row>
    <row r="176" spans="1:154" s="74" customFormat="1">
      <c r="A176" s="160"/>
      <c r="B176" s="1" t="s">
        <v>1</v>
      </c>
      <c r="EV176" s="1"/>
      <c r="EW176" s="1"/>
      <c r="EX176" s="1"/>
    </row>
    <row r="177" spans="1:154" s="74" customFormat="1">
      <c r="A177" s="160"/>
      <c r="B177" s="1" t="s">
        <v>1203</v>
      </c>
      <c r="EV177" s="1"/>
      <c r="EW177" s="1"/>
      <c r="EX177" s="1"/>
    </row>
    <row r="178" spans="1:154" s="74" customFormat="1">
      <c r="A178" s="160"/>
      <c r="B178" s="1" t="s">
        <v>5</v>
      </c>
      <c r="EV178" s="1"/>
      <c r="EW178" s="1"/>
      <c r="EX178" s="1"/>
    </row>
    <row r="179" spans="1:154" s="74" customFormat="1">
      <c r="A179" s="160"/>
      <c r="B179" s="1" t="s">
        <v>1</v>
      </c>
      <c r="EV179" s="1"/>
      <c r="EW179" s="1"/>
      <c r="EX179" s="1"/>
    </row>
    <row r="180" spans="1:154" s="74" customFormat="1">
      <c r="A180" s="160"/>
      <c r="B180" s="1" t="s">
        <v>411</v>
      </c>
      <c r="EV180" s="1"/>
      <c r="EW180" s="1"/>
      <c r="EX180" s="1"/>
    </row>
    <row r="181" spans="1:154" s="74" customFormat="1">
      <c r="A181" s="160"/>
      <c r="B181" s="1" t="s">
        <v>413</v>
      </c>
      <c r="EV181" s="1"/>
      <c r="EW181" s="1"/>
      <c r="EX181" s="1"/>
    </row>
    <row r="182" spans="1:154" s="74" customFormat="1">
      <c r="A182" s="160"/>
      <c r="B182" s="1" t="s">
        <v>1</v>
      </c>
      <c r="EV182" s="1"/>
      <c r="EW182" s="1"/>
      <c r="EX182" s="1"/>
    </row>
    <row r="183" spans="1:154" s="74" customFormat="1">
      <c r="A183" s="160"/>
      <c r="B183" s="1" t="s">
        <v>1203</v>
      </c>
      <c r="EV183" s="1"/>
      <c r="EW183" s="1"/>
      <c r="EX183" s="1"/>
    </row>
    <row r="184" spans="1:154" s="74" customFormat="1">
      <c r="A184" s="160"/>
      <c r="B184" s="1" t="s">
        <v>6</v>
      </c>
      <c r="EV184" s="1"/>
      <c r="EW184" s="1"/>
      <c r="EX184" s="1"/>
    </row>
    <row r="185" spans="1:154" s="74" customFormat="1">
      <c r="A185" s="160"/>
      <c r="B185" s="1" t="s">
        <v>1</v>
      </c>
      <c r="EV185" s="1"/>
      <c r="EW185" s="1"/>
      <c r="EX185" s="1"/>
    </row>
    <row r="186" spans="1:154" s="74" customFormat="1">
      <c r="A186" s="160"/>
      <c r="B186" s="1" t="s">
        <v>412</v>
      </c>
      <c r="EV186" s="1"/>
      <c r="EW186" s="1"/>
      <c r="EX186" s="1"/>
    </row>
    <row r="187" spans="1:154" s="74" customFormat="1">
      <c r="A187" s="160"/>
      <c r="B187" s="1" t="s">
        <v>414</v>
      </c>
      <c r="EV187" s="1"/>
      <c r="EW187" s="1"/>
      <c r="EX187" s="1"/>
    </row>
    <row r="188" spans="1:154" s="74" customFormat="1">
      <c r="A188" s="160"/>
      <c r="B188" s="1" t="s">
        <v>1</v>
      </c>
      <c r="EV188" s="1"/>
      <c r="EW188" s="1"/>
      <c r="EX188" s="1"/>
    </row>
    <row r="189" spans="1:154" s="74" customFormat="1">
      <c r="A189" s="160"/>
      <c r="B189" s="1" t="s">
        <v>412</v>
      </c>
      <c r="EV189" s="1"/>
      <c r="EW189" s="1"/>
      <c r="EX189" s="1"/>
    </row>
    <row r="190" spans="1:154" s="74" customFormat="1">
      <c r="A190" s="160"/>
      <c r="B190" s="1" t="s">
        <v>487</v>
      </c>
      <c r="EV190" s="1"/>
      <c r="EW190" s="1"/>
      <c r="EX190" s="1"/>
    </row>
    <row r="191" spans="1:154" s="74" customFormat="1">
      <c r="A191" s="160"/>
      <c r="B191" s="1" t="s">
        <v>1</v>
      </c>
      <c r="EV191" s="1"/>
      <c r="EW191" s="1"/>
      <c r="EX191" s="1"/>
    </row>
    <row r="192" spans="1:154" s="74" customFormat="1">
      <c r="A192" s="160"/>
      <c r="B192" s="1" t="s">
        <v>412</v>
      </c>
      <c r="EV192" s="1"/>
      <c r="EW192" s="1"/>
      <c r="EX192" s="1"/>
    </row>
    <row r="193" spans="1:154" s="74" customFormat="1">
      <c r="A193" s="160"/>
      <c r="B193" s="1" t="s">
        <v>488</v>
      </c>
      <c r="EV193" s="1"/>
      <c r="EW193" s="1"/>
      <c r="EX193" s="1"/>
    </row>
    <row r="194" spans="1:154" s="74" customFormat="1">
      <c r="A194" s="160"/>
      <c r="B194" s="1" t="s">
        <v>1</v>
      </c>
      <c r="EV194" s="1"/>
      <c r="EW194" s="1"/>
      <c r="EX194" s="1"/>
    </row>
    <row r="195" spans="1:154" s="74" customFormat="1">
      <c r="A195" s="160"/>
      <c r="B195" s="1" t="s">
        <v>403</v>
      </c>
      <c r="EV195" s="1"/>
      <c r="EW195" s="1"/>
      <c r="EX195" s="1"/>
    </row>
    <row r="196" spans="1:154" s="74" customFormat="1">
      <c r="A196" s="160"/>
      <c r="B196" s="1" t="s">
        <v>415</v>
      </c>
      <c r="EV196" s="1"/>
      <c r="EW196" s="1"/>
      <c r="EX196" s="1"/>
    </row>
    <row r="197" spans="1:154" s="74" customFormat="1">
      <c r="A197" s="160"/>
      <c r="B197" s="1" t="s">
        <v>1</v>
      </c>
      <c r="EV197" s="1"/>
      <c r="EW197" s="1"/>
      <c r="EX197" s="1"/>
    </row>
    <row r="198" spans="1:154" s="74" customFormat="1">
      <c r="A198" s="160"/>
      <c r="B198" s="1" t="s">
        <v>402</v>
      </c>
      <c r="EV198" s="1"/>
      <c r="EW198" s="1"/>
      <c r="EX198" s="1"/>
    </row>
    <row r="199" spans="1:154" s="74" customFormat="1">
      <c r="A199" s="160"/>
      <c r="B199" s="1" t="s">
        <v>416</v>
      </c>
      <c r="EV199" s="1"/>
      <c r="EW199" s="1"/>
      <c r="EX199" s="1"/>
    </row>
    <row r="200" spans="1:154" s="74" customFormat="1">
      <c r="A200" s="160"/>
      <c r="B200" s="1" t="s">
        <v>1</v>
      </c>
      <c r="EV200" s="1"/>
      <c r="EW200" s="1"/>
      <c r="EX200" s="1"/>
    </row>
    <row r="201" spans="1:154" s="74" customFormat="1">
      <c r="A201" s="160"/>
      <c r="B201" s="1" t="s">
        <v>489</v>
      </c>
      <c r="EV201" s="1"/>
      <c r="EW201" s="1"/>
      <c r="EX201" s="1"/>
    </row>
    <row r="202" spans="1:154" s="74" customFormat="1">
      <c r="A202" s="160"/>
      <c r="B202" s="1" t="s">
        <v>490</v>
      </c>
      <c r="EV202" s="1"/>
      <c r="EW202" s="1"/>
      <c r="EX202" s="1"/>
    </row>
    <row r="203" spans="1:154" s="74" customFormat="1">
      <c r="A203" s="160"/>
      <c r="B203" s="1" t="s">
        <v>481</v>
      </c>
      <c r="EV203" s="1"/>
      <c r="EW203" s="1"/>
      <c r="EX203" s="1"/>
    </row>
    <row r="204" spans="1:154" s="74" customFormat="1">
      <c r="A204" s="160"/>
      <c r="B204" s="1" t="s">
        <v>1206</v>
      </c>
      <c r="EV204" s="1"/>
      <c r="EW204" s="1"/>
      <c r="EX204" s="1"/>
    </row>
    <row r="205" spans="1:154" s="74" customFormat="1">
      <c r="A205" s="160"/>
      <c r="B205" s="1" t="s">
        <v>465</v>
      </c>
      <c r="EV205" s="1"/>
      <c r="EW205" s="1"/>
      <c r="EX205" s="1"/>
    </row>
    <row r="206" spans="1:154" s="74" customFormat="1">
      <c r="A206" s="160"/>
      <c r="B206" s="1" t="s">
        <v>481</v>
      </c>
      <c r="EV206" s="1"/>
      <c r="EW206" s="1"/>
      <c r="EX206" s="1"/>
    </row>
    <row r="207" spans="1:154" s="74" customFormat="1">
      <c r="A207" s="160"/>
      <c r="B207" s="1" t="s">
        <v>1207</v>
      </c>
      <c r="EV207" s="1"/>
      <c r="EW207" s="1"/>
      <c r="EX207" s="1"/>
    </row>
    <row r="208" spans="1:154" s="74" customFormat="1">
      <c r="A208" s="160"/>
      <c r="B208" s="1" t="s">
        <v>465</v>
      </c>
      <c r="EV208" s="1"/>
      <c r="EW208" s="1"/>
      <c r="EX208" s="1"/>
    </row>
    <row r="209" spans="1:154" s="74" customFormat="1">
      <c r="A209" s="160"/>
      <c r="B209" s="1" t="s">
        <v>1</v>
      </c>
      <c r="EV209" s="1"/>
      <c r="EW209" s="1"/>
      <c r="EX209" s="1"/>
    </row>
    <row r="210" spans="1:154" s="74" customFormat="1">
      <c r="A210" s="160"/>
      <c r="B210" s="1" t="s">
        <v>402</v>
      </c>
      <c r="EV210" s="1"/>
      <c r="EW210" s="1"/>
      <c r="EX210" s="1"/>
    </row>
    <row r="211" spans="1:154" s="74" customFormat="1">
      <c r="A211" s="160"/>
      <c r="B211" s="1" t="s">
        <v>417</v>
      </c>
      <c r="EV211" s="1"/>
      <c r="EW211" s="1"/>
      <c r="EX211" s="1"/>
    </row>
    <row r="212" spans="1:154" s="74" customFormat="1">
      <c r="A212" s="160"/>
      <c r="B212" s="1" t="s">
        <v>1</v>
      </c>
      <c r="EV212" s="1"/>
      <c r="EW212" s="1"/>
      <c r="EX212" s="1"/>
    </row>
    <row r="213" spans="1:154" s="74" customFormat="1">
      <c r="A213" s="160"/>
      <c r="B213" s="1" t="s">
        <v>494</v>
      </c>
      <c r="EV213" s="1"/>
      <c r="EW213" s="1"/>
      <c r="EX213" s="1"/>
    </row>
    <row r="214" spans="1:154" s="74" customFormat="1">
      <c r="A214" s="160"/>
      <c r="B214" s="1" t="s">
        <v>465</v>
      </c>
      <c r="EV214" s="1"/>
      <c r="EW214" s="1"/>
      <c r="EX214" s="1"/>
    </row>
    <row r="215" spans="1:154" s="74" customFormat="1">
      <c r="A215" s="160"/>
      <c r="B215" s="1" t="s">
        <v>481</v>
      </c>
      <c r="EV215" s="1"/>
      <c r="EW215" s="1"/>
      <c r="EX215" s="1"/>
    </row>
    <row r="216" spans="1:154" s="74" customFormat="1">
      <c r="A216" s="160"/>
      <c r="B216" s="1" t="s">
        <v>1208</v>
      </c>
      <c r="EV216" s="1"/>
      <c r="EW216" s="1"/>
      <c r="EX216" s="1"/>
    </row>
    <row r="217" spans="1:154" s="74" customFormat="1">
      <c r="A217" s="160"/>
      <c r="B217" s="1" t="s">
        <v>1145</v>
      </c>
      <c r="EV217" s="1"/>
      <c r="EW217" s="1"/>
      <c r="EX217" s="1"/>
    </row>
    <row r="218" spans="1:154" s="74" customFormat="1">
      <c r="A218" s="160"/>
      <c r="B218" s="1" t="s">
        <v>1</v>
      </c>
      <c r="EV218" s="1"/>
      <c r="EW218" s="1"/>
      <c r="EX218" s="1"/>
    </row>
    <row r="219" spans="1:154" s="74" customFormat="1">
      <c r="A219" s="160"/>
      <c r="B219" s="1" t="s">
        <v>411</v>
      </c>
      <c r="EV219" s="1"/>
      <c r="EW219" s="1"/>
      <c r="EX219" s="1"/>
    </row>
    <row r="220" spans="1:154" s="74" customFormat="1">
      <c r="A220" s="160"/>
      <c r="B220" s="1" t="s">
        <v>7</v>
      </c>
      <c r="EV220" s="1"/>
      <c r="EW220" s="1"/>
      <c r="EX220" s="1"/>
    </row>
    <row r="221" spans="1:154" s="74" customFormat="1">
      <c r="A221" s="160"/>
      <c r="B221" s="1" t="s">
        <v>1</v>
      </c>
      <c r="EV221" s="1"/>
      <c r="EW221" s="1"/>
      <c r="EX221" s="1"/>
    </row>
    <row r="222" spans="1:154" s="74" customFormat="1">
      <c r="A222" s="160"/>
      <c r="B222" s="1" t="s">
        <v>412</v>
      </c>
      <c r="EV222" s="1"/>
      <c r="EW222" s="1"/>
      <c r="EX222" s="1"/>
    </row>
    <row r="223" spans="1:154" s="74" customFormat="1">
      <c r="A223" s="160"/>
      <c r="B223" s="1" t="s">
        <v>418</v>
      </c>
      <c r="EV223" s="1"/>
      <c r="EW223" s="1"/>
      <c r="EX223" s="1"/>
    </row>
    <row r="224" spans="1:154" s="74" customFormat="1">
      <c r="A224" s="160"/>
      <c r="B224" s="1" t="s">
        <v>1</v>
      </c>
      <c r="EV224" s="1"/>
      <c r="EW224" s="1"/>
      <c r="EX224" s="1"/>
    </row>
    <row r="225" spans="1:154" s="74" customFormat="1">
      <c r="A225" s="160"/>
      <c r="B225" s="1" t="s">
        <v>402</v>
      </c>
      <c r="EV225" s="1"/>
      <c r="EW225" s="1"/>
      <c r="EX225" s="1"/>
    </row>
    <row r="226" spans="1:154" s="74" customFormat="1">
      <c r="A226" s="160"/>
      <c r="B226" s="1" t="s">
        <v>8</v>
      </c>
      <c r="EV226" s="1"/>
      <c r="EW226" s="1"/>
      <c r="EX226" s="1"/>
    </row>
    <row r="227" spans="1:154" s="74" customFormat="1">
      <c r="A227" s="160"/>
      <c r="B227" s="1" t="s">
        <v>1</v>
      </c>
      <c r="EV227" s="1"/>
      <c r="EW227" s="1"/>
      <c r="EX227" s="1"/>
    </row>
    <row r="228" spans="1:154" s="74" customFormat="1">
      <c r="A228" s="160"/>
      <c r="B228" s="1" t="s">
        <v>497</v>
      </c>
      <c r="EV228" s="1"/>
      <c r="EW228" s="1"/>
      <c r="EX228" s="1"/>
    </row>
    <row r="229" spans="1:154" s="74" customFormat="1">
      <c r="A229" s="160"/>
      <c r="B229" s="1" t="s">
        <v>498</v>
      </c>
      <c r="EV229" s="1"/>
      <c r="EW229" s="1"/>
      <c r="EX229" s="1"/>
    </row>
    <row r="230" spans="1:154" s="74" customFormat="1">
      <c r="A230" s="160"/>
      <c r="B230" s="1" t="s">
        <v>481</v>
      </c>
      <c r="EV230" s="1"/>
      <c r="EW230" s="1"/>
      <c r="EX230" s="1"/>
    </row>
    <row r="231" spans="1:154" s="74" customFormat="1">
      <c r="A231" s="160"/>
      <c r="B231" s="1" t="s">
        <v>1209</v>
      </c>
      <c r="EV231" s="1"/>
      <c r="EW231" s="1"/>
      <c r="EX231" s="1"/>
    </row>
    <row r="232" spans="1:154" s="74" customFormat="1">
      <c r="A232" s="160"/>
      <c r="B232" s="1" t="s">
        <v>1145</v>
      </c>
      <c r="EV232" s="1"/>
      <c r="EW232" s="1"/>
      <c r="EX232" s="1"/>
    </row>
    <row r="233" spans="1:154" s="74" customFormat="1">
      <c r="A233" s="160"/>
      <c r="B233" s="1" t="s">
        <v>1</v>
      </c>
      <c r="EV233" s="1"/>
      <c r="EW233" s="1"/>
      <c r="EX233" s="1"/>
    </row>
    <row r="234" spans="1:154" s="74" customFormat="1">
      <c r="A234" s="160"/>
      <c r="B234" s="1" t="s">
        <v>402</v>
      </c>
      <c r="EV234" s="1"/>
      <c r="EW234" s="1"/>
      <c r="EX234" s="1"/>
    </row>
    <row r="235" spans="1:154" s="74" customFormat="1">
      <c r="A235" s="160"/>
      <c r="B235" s="1" t="s">
        <v>419</v>
      </c>
      <c r="EV235" s="1"/>
      <c r="EW235" s="1"/>
      <c r="EX235" s="1"/>
    </row>
    <row r="236" spans="1:154" s="74" customFormat="1">
      <c r="A236" s="160"/>
      <c r="B236" s="1" t="s">
        <v>1</v>
      </c>
      <c r="EV236" s="1"/>
      <c r="EW236" s="1"/>
      <c r="EX236" s="1"/>
    </row>
    <row r="237" spans="1:154" s="74" customFormat="1">
      <c r="A237" s="160"/>
      <c r="B237" s="1" t="s">
        <v>412</v>
      </c>
      <c r="EV237" s="1"/>
      <c r="EW237" s="1"/>
      <c r="EX237" s="1"/>
    </row>
    <row r="238" spans="1:154" s="74" customFormat="1">
      <c r="A238" s="160"/>
      <c r="B238" s="1" t="s">
        <v>9</v>
      </c>
      <c r="EV238" s="1"/>
      <c r="EW238" s="1"/>
      <c r="EX238" s="1"/>
    </row>
    <row r="239" spans="1:154" s="74" customFormat="1">
      <c r="A239" s="160"/>
      <c r="B239" s="1" t="s">
        <v>1</v>
      </c>
      <c r="EV239" s="1"/>
      <c r="EW239" s="1"/>
      <c r="EX239" s="1"/>
    </row>
    <row r="240" spans="1:154" s="74" customFormat="1">
      <c r="A240" s="160"/>
      <c r="B240" s="1" t="s">
        <v>402</v>
      </c>
      <c r="EV240" s="1"/>
      <c r="EW240" s="1"/>
      <c r="EX240" s="1"/>
    </row>
    <row r="241" spans="1:154" s="74" customFormat="1">
      <c r="A241" s="160"/>
      <c r="B241" s="1" t="s">
        <v>420</v>
      </c>
      <c r="EV241" s="1"/>
      <c r="EW241" s="1"/>
      <c r="EX241" s="1"/>
    </row>
    <row r="242" spans="1:154" s="74" customFormat="1">
      <c r="A242" s="160"/>
      <c r="B242" s="1" t="s">
        <v>1</v>
      </c>
      <c r="EV242" s="1"/>
      <c r="EW242" s="1"/>
      <c r="EX242" s="1"/>
    </row>
    <row r="243" spans="1:154" s="74" customFormat="1">
      <c r="A243" s="160"/>
      <c r="B243" s="1" t="s">
        <v>500</v>
      </c>
      <c r="EV243" s="1"/>
      <c r="EW243" s="1"/>
      <c r="EX243" s="1"/>
    </row>
    <row r="244" spans="1:154" s="74" customFormat="1">
      <c r="A244" s="160"/>
      <c r="B244" s="1" t="s">
        <v>490</v>
      </c>
      <c r="EV244" s="1"/>
      <c r="EW244" s="1"/>
      <c r="EX244" s="1"/>
    </row>
    <row r="245" spans="1:154" s="74" customFormat="1">
      <c r="A245" s="160"/>
      <c r="B245" s="1" t="s">
        <v>481</v>
      </c>
      <c r="EV245" s="1"/>
      <c r="EW245" s="1"/>
      <c r="EX245" s="1"/>
    </row>
    <row r="246" spans="1:154" s="74" customFormat="1">
      <c r="A246" s="160"/>
      <c r="B246" s="1" t="s">
        <v>1212</v>
      </c>
      <c r="EV246" s="1"/>
      <c r="EW246" s="1"/>
      <c r="EX246" s="1"/>
    </row>
    <row r="247" spans="1:154" s="74" customFormat="1">
      <c r="A247" s="160"/>
      <c r="B247" s="1" t="s">
        <v>498</v>
      </c>
      <c r="EV247" s="1"/>
      <c r="EW247" s="1"/>
      <c r="EX247" s="1"/>
    </row>
    <row r="248" spans="1:154" s="74" customFormat="1">
      <c r="A248" s="160"/>
      <c r="B248" s="1" t="s">
        <v>481</v>
      </c>
      <c r="EV248" s="1"/>
      <c r="EW248" s="1"/>
      <c r="EX248" s="1"/>
    </row>
    <row r="249" spans="1:154" s="74" customFormat="1">
      <c r="A249" s="160"/>
      <c r="B249" s="1" t="s">
        <v>1213</v>
      </c>
      <c r="EV249" s="1"/>
      <c r="EW249" s="1"/>
      <c r="EX249" s="1"/>
    </row>
    <row r="250" spans="1:154" s="74" customFormat="1">
      <c r="A250" s="160"/>
      <c r="B250" s="1" t="s">
        <v>465</v>
      </c>
      <c r="EV250" s="1"/>
      <c r="EW250" s="1"/>
      <c r="EX250" s="1"/>
    </row>
    <row r="251" spans="1:154" s="74" customFormat="1">
      <c r="A251" s="160"/>
      <c r="B251" s="1" t="s">
        <v>1</v>
      </c>
      <c r="EV251" s="1"/>
      <c r="EW251" s="1"/>
      <c r="EX251" s="1"/>
    </row>
    <row r="252" spans="1:154" s="74" customFormat="1">
      <c r="A252" s="160"/>
      <c r="B252" s="1" t="s">
        <v>403</v>
      </c>
      <c r="EV252" s="1"/>
      <c r="EW252" s="1"/>
      <c r="EX252" s="1"/>
    </row>
    <row r="253" spans="1:154" s="74" customFormat="1">
      <c r="A253" s="160"/>
      <c r="B253" s="1" t="s">
        <v>421</v>
      </c>
      <c r="EV253" s="1"/>
      <c r="EW253" s="1"/>
      <c r="EX253" s="1"/>
    </row>
    <row r="254" spans="1:154" s="74" customFormat="1">
      <c r="A254" s="160"/>
      <c r="B254" s="1" t="s">
        <v>1</v>
      </c>
      <c r="EV254" s="1"/>
      <c r="EW254" s="1"/>
      <c r="EX254" s="1"/>
    </row>
    <row r="255" spans="1:154" s="74" customFormat="1">
      <c r="A255" s="160"/>
      <c r="B255" s="1" t="s">
        <v>423</v>
      </c>
      <c r="EV255" s="1"/>
      <c r="EW255" s="1"/>
      <c r="EX255" s="1"/>
    </row>
    <row r="256" spans="1:154" s="74" customFormat="1">
      <c r="A256" s="160"/>
      <c r="B256" s="1" t="s">
        <v>424</v>
      </c>
      <c r="EV256" s="1"/>
      <c r="EW256" s="1"/>
      <c r="EX256" s="1"/>
    </row>
    <row r="257" spans="1:154" s="74" customFormat="1">
      <c r="A257" s="160"/>
      <c r="B257" s="160" t="s">
        <v>1</v>
      </c>
      <c r="EV257" s="1"/>
      <c r="EW257" s="1"/>
      <c r="EX257" s="1"/>
    </row>
    <row r="258" spans="1:154" s="74" customFormat="1">
      <c r="A258" s="160"/>
      <c r="B258" s="160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66"/>
      <c r="AQ258" s="1"/>
      <c r="AR258" s="1"/>
      <c r="AS258" s="1"/>
      <c r="AT258" s="1"/>
      <c r="AU258" s="66"/>
      <c r="AV258" s="1"/>
      <c r="AW258" s="1"/>
      <c r="AX258" s="1"/>
      <c r="AY258" s="1"/>
      <c r="AZ258" s="66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</row>
    <row r="259" spans="1:154" s="74" customFormat="1">
      <c r="A259" s="160"/>
      <c r="B259" s="160"/>
      <c r="C259" s="1"/>
      <c r="D259" s="66"/>
      <c r="E259" s="1"/>
      <c r="F259" s="1"/>
      <c r="G259" s="1"/>
      <c r="H259" s="6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66"/>
      <c r="AH259" s="1"/>
      <c r="AI259" s="1"/>
      <c r="AJ259" s="1"/>
      <c r="AK259" s="1"/>
      <c r="AL259" s="1"/>
      <c r="AM259" s="1"/>
      <c r="AN259" s="1"/>
      <c r="AO259" s="1"/>
      <c r="AP259" s="66"/>
      <c r="AQ259" s="1"/>
      <c r="AR259" s="1"/>
      <c r="AS259" s="1"/>
      <c r="AT259" s="1"/>
      <c r="AU259" s="66"/>
      <c r="AV259" s="1"/>
      <c r="AW259" s="1"/>
      <c r="AX259" s="1"/>
      <c r="AY259" s="1"/>
      <c r="AZ259" s="66"/>
      <c r="BA259" s="1"/>
      <c r="BB259" s="1"/>
      <c r="BC259" s="1"/>
      <c r="BD259" s="1"/>
      <c r="BE259" s="66"/>
      <c r="BF259" s="1"/>
      <c r="BG259" s="1"/>
      <c r="BH259" s="66"/>
      <c r="BI259" s="1"/>
      <c r="BJ259" s="1"/>
      <c r="BK259" s="1"/>
      <c r="BL259" s="66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</row>
    <row r="260" spans="1:154" s="74" customFormat="1">
      <c r="A260" s="160"/>
      <c r="B260" s="160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</row>
    <row r="261" spans="1:154" s="74" customFormat="1">
      <c r="A261" s="160"/>
      <c r="B261" s="160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66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66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66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</row>
    <row r="262" spans="1:154" s="74" customFormat="1">
      <c r="A262" s="160"/>
      <c r="B262" s="160"/>
      <c r="C262" s="1"/>
      <c r="D262" s="66"/>
      <c r="E262" s="1"/>
      <c r="F262" s="66"/>
      <c r="G262" s="1"/>
      <c r="H262" s="66"/>
      <c r="I262" s="1"/>
      <c r="J262" s="66"/>
      <c r="K262" s="1"/>
      <c r="L262" s="1"/>
      <c r="M262" s="1"/>
      <c r="N262" s="1"/>
      <c r="O262" s="1"/>
      <c r="P262" s="1"/>
      <c r="Q262" s="1"/>
      <c r="R262" s="1"/>
      <c r="S262" s="1"/>
      <c r="T262" s="66"/>
      <c r="U262" s="1"/>
      <c r="V262" s="1"/>
      <c r="W262" s="66"/>
      <c r="X262" s="1"/>
      <c r="Y262" s="66"/>
      <c r="Z262" s="1"/>
      <c r="AA262" s="66"/>
      <c r="AB262" s="1"/>
      <c r="AC262" s="1"/>
      <c r="AD262" s="1"/>
      <c r="AE262" s="66"/>
      <c r="AF262" s="1"/>
      <c r="AG262" s="1"/>
      <c r="AH262" s="1"/>
      <c r="AI262" s="1"/>
      <c r="AJ262" s="1"/>
      <c r="AK262" s="66"/>
      <c r="AL262" s="1"/>
      <c r="AM262" s="1"/>
      <c r="AN262" s="1"/>
      <c r="AO262" s="66"/>
      <c r="AP262" s="66"/>
      <c r="AQ262" s="1"/>
      <c r="AR262" s="1"/>
      <c r="AS262" s="1"/>
      <c r="AT262" s="66"/>
      <c r="AU262" s="1"/>
      <c r="AV262" s="1"/>
      <c r="AW262" s="1"/>
      <c r="AX262" s="1"/>
      <c r="AY262" s="1"/>
      <c r="AZ262" s="66"/>
      <c r="BA262" s="1"/>
      <c r="BB262" s="66"/>
      <c r="BC262" s="1"/>
      <c r="BD262" s="1"/>
      <c r="BE262" s="1"/>
      <c r="BF262" s="1"/>
      <c r="BG262" s="1"/>
      <c r="BH262" s="66"/>
      <c r="BI262" s="1"/>
      <c r="BJ262" s="1"/>
      <c r="BK262" s="66"/>
      <c r="BL262" s="66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66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</row>
    <row r="263" spans="1:154" s="74" customFormat="1">
      <c r="A263" s="160"/>
      <c r="B263" s="160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</row>
    <row r="264" spans="1:154" s="74" customFormat="1">
      <c r="A264" s="160"/>
      <c r="B264" s="160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66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66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</row>
    <row r="265" spans="1:154" s="74" customFormat="1">
      <c r="A265" s="160"/>
      <c r="B265" s="160"/>
      <c r="C265" s="1"/>
      <c r="D265" s="66"/>
      <c r="E265" s="1"/>
      <c r="F265" s="1"/>
      <c r="G265" s="1"/>
      <c r="H265" s="66"/>
      <c r="I265" s="1"/>
      <c r="J265" s="1"/>
      <c r="K265" s="1"/>
      <c r="L265" s="66"/>
      <c r="M265" s="1"/>
      <c r="N265" s="1"/>
      <c r="O265" s="1"/>
      <c r="P265" s="66"/>
      <c r="Q265" s="1"/>
      <c r="R265" s="1"/>
      <c r="S265" s="1"/>
      <c r="T265" s="1"/>
      <c r="U265" s="1"/>
      <c r="V265" s="1"/>
      <c r="W265" s="1"/>
      <c r="X265" s="1"/>
      <c r="Y265" s="66"/>
      <c r="Z265" s="1"/>
      <c r="AA265" s="1"/>
      <c r="AB265" s="1"/>
      <c r="AC265" s="1"/>
      <c r="AD265" s="1"/>
      <c r="AE265" s="66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66"/>
      <c r="AX265" s="1"/>
      <c r="AY265" s="1"/>
      <c r="AZ265" s="66"/>
      <c r="BA265" s="1"/>
      <c r="BB265" s="1"/>
      <c r="BC265" s="1"/>
      <c r="BD265" s="1"/>
      <c r="BE265" s="1"/>
      <c r="BF265" s="1"/>
      <c r="BG265" s="1"/>
      <c r="BH265" s="66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</row>
    <row r="266" spans="1:154" s="74" customFormat="1">
      <c r="A266" s="160"/>
      <c r="B266" s="160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</row>
    <row r="267" spans="1:154" s="74" customFormat="1">
      <c r="A267" s="160"/>
      <c r="B267" s="160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66"/>
      <c r="AV267" s="1"/>
      <c r="AW267" s="1"/>
      <c r="AX267" s="1"/>
      <c r="AY267" s="1"/>
      <c r="AZ267" s="66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66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66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</row>
    <row r="268" spans="1:154" s="74" customFormat="1">
      <c r="A268" s="160"/>
      <c r="B268" s="160"/>
      <c r="C268" s="1"/>
      <c r="D268" s="66"/>
      <c r="E268" s="1"/>
      <c r="F268" s="66"/>
      <c r="G268" s="1"/>
      <c r="H268" s="1"/>
      <c r="I268" s="1"/>
      <c r="J268" s="66"/>
      <c r="K268" s="1"/>
      <c r="L268" s="1"/>
      <c r="M268" s="1"/>
      <c r="N268" s="1"/>
      <c r="O268" s="1"/>
      <c r="P268" s="66"/>
      <c r="Q268" s="1"/>
      <c r="R268" s="66"/>
      <c r="S268" s="1"/>
      <c r="T268" s="66"/>
      <c r="U268" s="1"/>
      <c r="V268" s="1"/>
      <c r="W268" s="1"/>
      <c r="X268" s="1"/>
      <c r="Y268" s="1"/>
      <c r="Z268" s="1"/>
      <c r="AA268" s="66"/>
      <c r="AB268" s="1"/>
      <c r="AC268" s="1"/>
      <c r="AD268" s="1"/>
      <c r="AE268" s="66"/>
      <c r="AF268" s="1"/>
      <c r="AG268" s="66"/>
      <c r="AH268" s="1"/>
      <c r="AI268" s="1"/>
      <c r="AJ268" s="1"/>
      <c r="AK268" s="66"/>
      <c r="AL268" s="1"/>
      <c r="AM268" s="1"/>
      <c r="AN268" s="1"/>
      <c r="AO268" s="66"/>
      <c r="AP268" s="1"/>
      <c r="AQ268" s="1"/>
      <c r="AR268" s="66"/>
      <c r="AS268" s="1"/>
      <c r="AT268" s="1"/>
      <c r="AU268" s="66"/>
      <c r="AV268" s="1"/>
      <c r="AW268" s="66"/>
      <c r="AX268" s="1"/>
      <c r="AY268" s="66"/>
      <c r="AZ268" s="66"/>
      <c r="BA268" s="1"/>
      <c r="BB268" s="66"/>
      <c r="BC268" s="1"/>
      <c r="BD268" s="1"/>
      <c r="BE268" s="1"/>
      <c r="BF268" s="1"/>
      <c r="BG268" s="1"/>
      <c r="BH268" s="66"/>
      <c r="BI268" s="1"/>
      <c r="BJ268" s="1"/>
      <c r="BK268" s="1"/>
      <c r="BL268" s="66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66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66"/>
      <c r="DZ268" s="1"/>
      <c r="EA268" s="66"/>
      <c r="EB268" s="1"/>
      <c r="EC268" s="66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</row>
    <row r="269" spans="1:154" s="74" customFormat="1">
      <c r="A269" s="160"/>
      <c r="B269" s="160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</row>
    <row r="270" spans="1:154" s="74" customFormat="1">
      <c r="A270" s="1"/>
      <c r="B270" s="1"/>
    </row>
    <row r="271" spans="1:154" s="74" customFormat="1">
      <c r="A271" s="1"/>
      <c r="B271" s="1"/>
    </row>
    <row r="272" spans="1:154" s="74" customFormat="1">
      <c r="A272" s="1"/>
      <c r="B272" s="1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535</v>
      </c>
      <c r="B1" s="2">
        <v>2014</v>
      </c>
      <c r="C1" s="2">
        <v>264</v>
      </c>
    </row>
    <row r="2" spans="1:15">
      <c r="B2" s="2">
        <v>2015</v>
      </c>
      <c r="C2" s="2">
        <v>265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INDIRECT("'"&amp;D3&amp;"'!G"&amp;C1&amp;"")</f>
        <v>0</v>
      </c>
      <c r="E4" s="24">
        <f ca="1">INDIRECT("'"&amp;E3&amp;"'!G"&amp;C1&amp;"")</f>
        <v>0</v>
      </c>
      <c r="F4" s="24">
        <f ca="1">INDIRECT("'"&amp;F3&amp;"'!G"&amp;C1&amp;"")</f>
        <v>0</v>
      </c>
      <c r="G4" s="24">
        <f ca="1">INDIRECT("'"&amp;G3&amp;"'!G"&amp;C1&amp;"")</f>
        <v>0</v>
      </c>
      <c r="H4" s="24">
        <f ca="1">INDIRECT("'"&amp;H3&amp;"'!G"&amp;C1&amp;"")</f>
        <v>0</v>
      </c>
      <c r="I4" s="24">
        <f ca="1">INDIRECT("'"&amp;I3&amp;"'!G"&amp;C1&amp;"")</f>
        <v>0</v>
      </c>
      <c r="J4" s="24">
        <f ca="1">INDIRECT("'"&amp;J3&amp;"'!G"&amp;C1&amp;"")</f>
        <v>0</v>
      </c>
      <c r="K4" s="24">
        <f ca="1">INDIRECT("'"&amp;K3&amp;"'!G"&amp;C1&amp;"")</f>
        <v>0</v>
      </c>
      <c r="L4" s="24">
        <f ca="1">INDIRECT("'"&amp;L3&amp;"'!G"&amp;C1&amp;"")</f>
        <v>0</v>
      </c>
      <c r="M4" s="24">
        <f ca="1">INDIRECT("'"&amp;M3&amp;"'!G"&amp;C1&amp;"")</f>
        <v>0</v>
      </c>
      <c r="N4" s="24">
        <f ca="1">INDIRECT("'"&amp;N3&amp;"'!G"&amp;C1&amp;"")</f>
        <v>0</v>
      </c>
      <c r="O4" s="24">
        <f ca="1">INDIRECT("'"&amp;O3&amp;"'!G"&amp;C1&amp;"")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INDIRECT("'"&amp;D3&amp;"'!G"&amp;C2&amp;"")</f>
        <v>0</v>
      </c>
      <c r="E5" s="24">
        <f ca="1">INDIRECT("'"&amp;E3&amp;"'!G"&amp;C2&amp;"")</f>
        <v>0</v>
      </c>
      <c r="F5" s="24">
        <f ca="1">INDIRECT("'"&amp;F3&amp;"'!G"&amp;C2&amp;"")</f>
        <v>0</v>
      </c>
      <c r="G5" s="24">
        <f ca="1">INDIRECT("'"&amp;G3&amp;"'!G"&amp;C2&amp;"")</f>
        <v>0</v>
      </c>
      <c r="H5" s="24">
        <f ca="1">INDIRECT("'"&amp;H3&amp;"'!G"&amp;C2&amp;"")</f>
        <v>0</v>
      </c>
      <c r="I5" s="24">
        <f ca="1">INDIRECT("'"&amp;I3&amp;"'!G"&amp;C2&amp;"")</f>
        <v>0</v>
      </c>
      <c r="J5" s="24">
        <f ca="1">INDIRECT("'"&amp;J3&amp;"'!G"&amp;C2&amp;"")</f>
        <v>0</v>
      </c>
      <c r="K5" s="24">
        <f ca="1">INDIRECT("'"&amp;K3&amp;"'!G"&amp;C2&amp;"")</f>
        <v>0</v>
      </c>
      <c r="L5" s="24">
        <f ca="1">INDIRECT("'"&amp;L3&amp;"'!G"&amp;C2&amp;"")</f>
        <v>0</v>
      </c>
      <c r="M5" s="24">
        <f ca="1">INDIRECT("'"&amp;M3&amp;"'!G"&amp;C2&amp;"")</f>
        <v>0</v>
      </c>
      <c r="N5" s="24">
        <f ca="1">INDIRECT("'"&amp;N3&amp;"'!G"&amp;C2&amp;"")</f>
        <v>0</v>
      </c>
      <c r="O5" s="24">
        <f ca="1">INDIRECT("'"&amp;O3&amp;"'!G"&amp;C2&amp;"")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INDIRECT("'"&amp;D3&amp;"'!O"&amp;C1&amp;"")</f>
        <v>0</v>
      </c>
      <c r="E6" s="24">
        <f ca="1">INDIRECT("'"&amp;E3&amp;"'!O"&amp;C1&amp;"")</f>
        <v>0</v>
      </c>
      <c r="F6" s="24">
        <f ca="1">INDIRECT("'"&amp;F3&amp;"'!O"&amp;C1&amp;"")</f>
        <v>0</v>
      </c>
      <c r="G6" s="24">
        <f ca="1">INDIRECT("'"&amp;G3&amp;"'!O"&amp;C1&amp;"")</f>
        <v>0</v>
      </c>
      <c r="H6" s="24">
        <f ca="1">INDIRECT("'"&amp;H3&amp;"'!O"&amp;C1&amp;"")</f>
        <v>0</v>
      </c>
      <c r="I6" s="24">
        <f ca="1">INDIRECT("'"&amp;I3&amp;"'!O"&amp;C1&amp;"")</f>
        <v>0</v>
      </c>
      <c r="J6" s="24">
        <f ca="1">INDIRECT("'"&amp;J3&amp;"'!O"&amp;C1&amp;"")</f>
        <v>0</v>
      </c>
      <c r="K6" s="24">
        <f ca="1">INDIRECT("'"&amp;K3&amp;"'!O"&amp;C1&amp;"")</f>
        <v>0</v>
      </c>
      <c r="L6" s="24">
        <f ca="1">INDIRECT("'"&amp;L3&amp;"'!O"&amp;C1&amp;"")</f>
        <v>0</v>
      </c>
      <c r="M6" s="24">
        <f ca="1">INDIRECT("'"&amp;M3&amp;"'!O"&amp;C1&amp;"")</f>
        <v>0</v>
      </c>
      <c r="N6" s="24">
        <f ca="1">INDIRECT("'"&amp;N3&amp;"'!O"&amp;C1&amp;"")</f>
        <v>0</v>
      </c>
      <c r="O6" s="24">
        <f ca="1">INDIRECT("'"&amp;O3&amp;"'!O"&amp;C1&amp;"")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INDIRECT("'"&amp;D3&amp;"'!o"&amp;C2&amp;"")</f>
        <v>0</v>
      </c>
      <c r="E7" s="24">
        <f ca="1">INDIRECT("'"&amp;E3&amp;"'!o"&amp;C2&amp;"")</f>
        <v>0</v>
      </c>
      <c r="F7" s="24">
        <f ca="1">INDIRECT("'"&amp;F3&amp;"'!o"&amp;C2&amp;"")</f>
        <v>0</v>
      </c>
      <c r="G7" s="24">
        <f ca="1">INDIRECT("'"&amp;G3&amp;"'!o"&amp;C2&amp;"")</f>
        <v>0</v>
      </c>
      <c r="H7" s="24">
        <f ca="1">INDIRECT("'"&amp;H3&amp;"'!o"&amp;C2&amp;"")</f>
        <v>0</v>
      </c>
      <c r="I7" s="24">
        <f ca="1">INDIRECT("'"&amp;I3&amp;"'!o"&amp;C2&amp;"")</f>
        <v>0</v>
      </c>
      <c r="J7" s="24">
        <f ca="1">INDIRECT("'"&amp;J3&amp;"'!o"&amp;C2&amp;"")</f>
        <v>0</v>
      </c>
      <c r="K7" s="24">
        <f ca="1">INDIRECT("'"&amp;K3&amp;"'!o"&amp;C2&amp;"")</f>
        <v>0</v>
      </c>
      <c r="L7" s="24">
        <f ca="1">INDIRECT("'"&amp;L3&amp;"'!o"&amp;C2&amp;"")</f>
        <v>0</v>
      </c>
      <c r="M7" s="24">
        <f ca="1">INDIRECT("'"&amp;M3&amp;"'!o"&amp;C2&amp;"")</f>
        <v>0</v>
      </c>
      <c r="N7" s="24">
        <f ca="1">INDIRECT("'"&amp;N3&amp;"'!o"&amp;C2&amp;"")</f>
        <v>0</v>
      </c>
      <c r="O7" s="24">
        <f ca="1">INDIRECT("'"&amp;O3&amp;"'!o"&amp;C2&amp;"")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INDIRECT("'"&amp;D3&amp;"'!bp"&amp;C1&amp;"")</f>
        <v>0</v>
      </c>
      <c r="E8" s="24">
        <f ca="1">INDIRECT("'"&amp;E3&amp;"'!bp"&amp;C1&amp;"")</f>
        <v>0</v>
      </c>
      <c r="F8" s="24">
        <f ca="1">INDIRECT("'"&amp;F3&amp;"'!bp"&amp;C1&amp;"")</f>
        <v>0</v>
      </c>
      <c r="G8" s="24">
        <f ca="1">INDIRECT("'"&amp;G3&amp;"'!bp"&amp;C1&amp;"")</f>
        <v>0</v>
      </c>
      <c r="H8" s="24">
        <f ca="1">INDIRECT("'"&amp;H3&amp;"'!bp"&amp;C1&amp;"")</f>
        <v>0</v>
      </c>
      <c r="I8" s="24">
        <f ca="1">INDIRECT("'"&amp;I3&amp;"'!bp"&amp;C1&amp;"")</f>
        <v>0</v>
      </c>
      <c r="J8" s="24">
        <f ca="1">INDIRECT("'"&amp;J3&amp;"'!bp"&amp;C1&amp;"")</f>
        <v>0</v>
      </c>
      <c r="K8" s="24">
        <f ca="1">INDIRECT("'"&amp;K3&amp;"'!bp"&amp;C1&amp;"")</f>
        <v>0</v>
      </c>
      <c r="L8" s="24">
        <f ca="1">INDIRECT("'"&amp;L3&amp;"'!bp"&amp;C1&amp;"")</f>
        <v>0</v>
      </c>
      <c r="M8" s="24">
        <f ca="1">INDIRECT("'"&amp;M3&amp;"'!bp"&amp;C1&amp;"")</f>
        <v>0</v>
      </c>
      <c r="N8" s="24">
        <f ca="1">INDIRECT("'"&amp;N3&amp;"'!bp"&amp;C1&amp;"")</f>
        <v>0</v>
      </c>
      <c r="O8" s="24">
        <f ca="1">INDIRECT("'"&amp;O3&amp;"'!bp"&amp;C1&amp;"")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INDIRECT("'"&amp;D3&amp;"'!bp"&amp;C2&amp;"")</f>
        <v>0</v>
      </c>
      <c r="E9" s="24">
        <f ca="1">INDIRECT("'"&amp;E3&amp;"'!bp"&amp;C2&amp;"")</f>
        <v>0</v>
      </c>
      <c r="F9" s="24">
        <f ca="1">INDIRECT("'"&amp;F3&amp;"'!bp"&amp;C2&amp;"")</f>
        <v>0</v>
      </c>
      <c r="G9" s="24">
        <f ca="1">INDIRECT("'"&amp;G3&amp;"'!bp"&amp;C2&amp;"")</f>
        <v>0</v>
      </c>
      <c r="H9" s="24">
        <f ca="1">INDIRECT("'"&amp;H3&amp;"'!bp"&amp;C2&amp;"")</f>
        <v>0</v>
      </c>
      <c r="I9" s="24">
        <f ca="1">INDIRECT("'"&amp;I3&amp;"'!bp"&amp;C2&amp;"")</f>
        <v>0</v>
      </c>
      <c r="J9" s="24">
        <f ca="1">INDIRECT("'"&amp;J3&amp;"'!bp"&amp;C2&amp;"")</f>
        <v>0</v>
      </c>
      <c r="K9" s="24">
        <f ca="1">INDIRECT("'"&amp;K3&amp;"'!bp"&amp;C2&amp;"")</f>
        <v>0</v>
      </c>
      <c r="L9" s="24">
        <f ca="1">INDIRECT("'"&amp;L3&amp;"'!bp"&amp;C2&amp;"")</f>
        <v>0</v>
      </c>
      <c r="M9" s="24">
        <f ca="1">INDIRECT("'"&amp;M3&amp;"'!bp"&amp;C2&amp;"")</f>
        <v>0</v>
      </c>
      <c r="N9" s="24">
        <f ca="1">INDIRECT("'"&amp;N3&amp;"'!bp"&amp;C2&amp;"")</f>
        <v>0</v>
      </c>
      <c r="O9" s="24">
        <f ca="1">INDIRECT("'"&amp;O3&amp;"'!bp"&amp;C2&amp;"")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INDIRECT("'"&amp;D3&amp;"'!bx"&amp;C1&amp;"")</f>
        <v>0</v>
      </c>
      <c r="E10" s="24">
        <f ca="1">INDIRECT("'"&amp;E3&amp;"'!bx"&amp;C1&amp;"")</f>
        <v>0</v>
      </c>
      <c r="F10" s="24">
        <f ca="1">INDIRECT("'"&amp;F3&amp;"'!bx"&amp;C1&amp;"")</f>
        <v>0</v>
      </c>
      <c r="G10" s="24">
        <f ca="1">INDIRECT("'"&amp;G3&amp;"'!bx"&amp;C1&amp;"")</f>
        <v>0</v>
      </c>
      <c r="H10" s="24">
        <f ca="1">INDIRECT("'"&amp;H3&amp;"'!bx"&amp;C1&amp;"")</f>
        <v>0</v>
      </c>
      <c r="I10" s="24">
        <f ca="1">INDIRECT("'"&amp;I3&amp;"'!bx"&amp;C1&amp;"")</f>
        <v>0</v>
      </c>
      <c r="J10" s="24">
        <f ca="1">INDIRECT("'"&amp;J3&amp;"'!bx"&amp;C1&amp;"")</f>
        <v>0</v>
      </c>
      <c r="K10" s="24">
        <f ca="1">INDIRECT("'"&amp;K3&amp;"'!bx"&amp;C1&amp;"")</f>
        <v>0</v>
      </c>
      <c r="L10" s="24">
        <f ca="1">INDIRECT("'"&amp;L3&amp;"'!bx"&amp;C1&amp;"")</f>
        <v>0</v>
      </c>
      <c r="M10" s="24">
        <f ca="1">INDIRECT("'"&amp;M3&amp;"'!bx"&amp;C1&amp;"")</f>
        <v>0</v>
      </c>
      <c r="N10" s="24">
        <f ca="1">INDIRECT("'"&amp;N3&amp;"'!bx"&amp;C1&amp;"")</f>
        <v>0</v>
      </c>
      <c r="O10" s="24">
        <f ca="1">INDIRECT("'"&amp;O3&amp;"'!bx"&amp;C1&amp;"")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INDIRECT("'"&amp;D3&amp;"'!bx"&amp;C2&amp;"")</f>
        <v>0</v>
      </c>
      <c r="E11" s="24">
        <f ca="1">INDIRECT("'"&amp;E3&amp;"'!bx"&amp;C2&amp;"")</f>
        <v>0</v>
      </c>
      <c r="F11" s="24">
        <f ca="1">INDIRECT("'"&amp;F3&amp;"'!bx"&amp;C2&amp;"")</f>
        <v>0</v>
      </c>
      <c r="G11" s="24">
        <f ca="1">INDIRECT("'"&amp;G3&amp;"'!bx"&amp;C2&amp;"")</f>
        <v>0</v>
      </c>
      <c r="H11" s="24">
        <f ca="1">INDIRECT("'"&amp;H3&amp;"'!bx"&amp;C2&amp;"")</f>
        <v>0</v>
      </c>
      <c r="I11" s="24">
        <f ca="1">INDIRECT("'"&amp;I3&amp;"'!bx"&amp;C2&amp;"")</f>
        <v>0</v>
      </c>
      <c r="J11" s="24">
        <f ca="1">INDIRECT("'"&amp;J3&amp;"'!bx"&amp;C2&amp;"")</f>
        <v>0</v>
      </c>
      <c r="K11" s="24">
        <f ca="1">INDIRECT("'"&amp;K3&amp;"'!bx"&amp;C2&amp;"")</f>
        <v>0</v>
      </c>
      <c r="L11" s="24">
        <f ca="1">INDIRECT("'"&amp;L3&amp;"'!bx"&amp;C2&amp;"")</f>
        <v>0</v>
      </c>
      <c r="M11" s="24">
        <f ca="1">INDIRECT("'"&amp;M3&amp;"'!bx"&amp;C2&amp;"")</f>
        <v>0</v>
      </c>
      <c r="N11" s="24">
        <f ca="1">INDIRECT("'"&amp;N3&amp;"'!bx"&amp;C2&amp;"")</f>
        <v>0</v>
      </c>
      <c r="O11" s="24">
        <f ca="1">INDIRECT("'"&amp;O3&amp;"'!bx"&amp;C2&amp;"")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INDIRECT("'"&amp;D3&amp;"'!cb"&amp;C1&amp;"")</f>
        <v>0</v>
      </c>
      <c r="E12" s="24">
        <f ca="1">INDIRECT("'"&amp;E3&amp;"'!cb"&amp;C1&amp;"")</f>
        <v>0</v>
      </c>
      <c r="F12" s="24">
        <f ca="1">INDIRECT("'"&amp;F3&amp;"'!cb"&amp;C1&amp;"")</f>
        <v>0</v>
      </c>
      <c r="G12" s="24">
        <f ca="1">INDIRECT("'"&amp;G3&amp;"'!cb"&amp;C1&amp;"")</f>
        <v>0</v>
      </c>
      <c r="H12" s="24">
        <f ca="1">INDIRECT("'"&amp;H3&amp;"'!cb"&amp;C1&amp;"")</f>
        <v>0</v>
      </c>
      <c r="I12" s="24">
        <f ca="1">INDIRECT("'"&amp;I3&amp;"'!cb"&amp;C1&amp;"")</f>
        <v>0</v>
      </c>
      <c r="J12" s="24">
        <f ca="1">INDIRECT("'"&amp;J3&amp;"'!cb"&amp;C1&amp;"")</f>
        <v>0</v>
      </c>
      <c r="K12" s="24">
        <f ca="1">INDIRECT("'"&amp;K3&amp;"'!cb"&amp;C1&amp;"")</f>
        <v>0</v>
      </c>
      <c r="L12" s="24">
        <f ca="1">INDIRECT("'"&amp;L3&amp;"'!cb"&amp;C1&amp;"")</f>
        <v>0</v>
      </c>
      <c r="M12" s="24">
        <f ca="1">INDIRECT("'"&amp;M3&amp;"'!cb"&amp;C1&amp;"")</f>
        <v>0</v>
      </c>
      <c r="N12" s="24">
        <f ca="1">INDIRECT("'"&amp;N3&amp;"'!cb"&amp;C1&amp;"")</f>
        <v>0</v>
      </c>
      <c r="O12" s="24">
        <f ca="1">INDIRECT("'"&amp;O3&amp;"'!cb"&amp;C1&amp;"")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INDIRECT("'"&amp;D3&amp;"'!cb"&amp;C2&amp;"")</f>
        <v>0</v>
      </c>
      <c r="E13" s="24">
        <f ca="1">INDIRECT("'"&amp;E3&amp;"'!cb"&amp;C2&amp;"")</f>
        <v>0</v>
      </c>
      <c r="F13" s="24">
        <f ca="1">INDIRECT("'"&amp;F3&amp;"'!cb"&amp;C2&amp;"")</f>
        <v>0</v>
      </c>
      <c r="G13" s="24">
        <f ca="1">INDIRECT("'"&amp;G3&amp;"'!cb"&amp;C2&amp;"")</f>
        <v>0</v>
      </c>
      <c r="H13" s="24">
        <f ca="1">INDIRECT("'"&amp;H3&amp;"'!cb"&amp;C2&amp;"")</f>
        <v>0</v>
      </c>
      <c r="I13" s="24">
        <f ca="1">INDIRECT("'"&amp;I3&amp;"'!cb"&amp;C2&amp;"")</f>
        <v>0</v>
      </c>
      <c r="J13" s="24">
        <f ca="1">INDIRECT("'"&amp;J3&amp;"'!cb"&amp;C2&amp;"")</f>
        <v>0</v>
      </c>
      <c r="K13" s="24">
        <f ca="1">INDIRECT("'"&amp;K3&amp;"'!cb"&amp;C2&amp;"")</f>
        <v>0</v>
      </c>
      <c r="L13" s="24">
        <f ca="1">INDIRECT("'"&amp;L3&amp;"'!cb"&amp;C2&amp;"")</f>
        <v>0</v>
      </c>
      <c r="M13" s="24">
        <f ca="1">INDIRECT("'"&amp;M3&amp;"'!cb"&amp;C2&amp;"")</f>
        <v>0</v>
      </c>
      <c r="N13" s="24">
        <f ca="1">INDIRECT("'"&amp;N3&amp;"'!cb"&amp;C2&amp;"")</f>
        <v>0</v>
      </c>
      <c r="O13" s="24">
        <f ca="1">INDIRECT("'"&amp;O3&amp;"'!cb"&amp;C2&amp;"")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INDIRECT("'"&amp;D3&amp;"'!bt"&amp;C1&amp;"")</f>
        <v>0</v>
      </c>
      <c r="E14" s="24">
        <f ca="1">INDIRECT("'"&amp;E3&amp;"'!bt"&amp;C1&amp;"")</f>
        <v>0</v>
      </c>
      <c r="F14" s="24">
        <f ca="1">INDIRECT("'"&amp;F3&amp;"'!bt"&amp;C1&amp;"")</f>
        <v>0</v>
      </c>
      <c r="G14" s="24">
        <f ca="1">INDIRECT("'"&amp;G3&amp;"'!bt"&amp;C1&amp;"")</f>
        <v>0</v>
      </c>
      <c r="H14" s="24">
        <f ca="1">INDIRECT("'"&amp;H3&amp;"'!bt"&amp;C1&amp;"")</f>
        <v>0</v>
      </c>
      <c r="I14" s="24">
        <f ca="1">INDIRECT("'"&amp;I3&amp;"'!bt"&amp;C1&amp;"")</f>
        <v>0</v>
      </c>
      <c r="J14" s="24">
        <f ca="1">INDIRECT("'"&amp;J3&amp;"'!bt"&amp;C1&amp;"")</f>
        <v>0</v>
      </c>
      <c r="K14" s="24">
        <f ca="1">INDIRECT("'"&amp;K3&amp;"'!bt"&amp;C1&amp;"")</f>
        <v>0</v>
      </c>
      <c r="L14" s="24">
        <f ca="1">INDIRECT("'"&amp;L3&amp;"'!bt"&amp;C1&amp;"")</f>
        <v>0</v>
      </c>
      <c r="M14" s="24">
        <f ca="1">INDIRECT("'"&amp;M3&amp;"'!bt"&amp;C1&amp;"")</f>
        <v>0</v>
      </c>
      <c r="N14" s="24">
        <f ca="1">INDIRECT("'"&amp;N3&amp;"'!bt"&amp;C1&amp;"")</f>
        <v>0</v>
      </c>
      <c r="O14" s="24">
        <f ca="1">INDIRECT("'"&amp;O3&amp;"'!bt"&amp;C1&amp;"")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INDIRECT("'"&amp;D3&amp;"'!bt"&amp;C2&amp;"")</f>
        <v>0</v>
      </c>
      <c r="E15" s="24">
        <f ca="1">INDIRECT("'"&amp;E3&amp;"'!bt"&amp;C2&amp;"")</f>
        <v>0</v>
      </c>
      <c r="F15" s="24">
        <f ca="1">INDIRECT("'"&amp;F3&amp;"'!bt"&amp;C2&amp;"")</f>
        <v>0</v>
      </c>
      <c r="G15" s="24">
        <f ca="1">INDIRECT("'"&amp;G3&amp;"'!bt"&amp;C2&amp;"")</f>
        <v>0</v>
      </c>
      <c r="H15" s="24">
        <f ca="1">INDIRECT("'"&amp;H3&amp;"'!bt"&amp;C2&amp;"")</f>
        <v>0</v>
      </c>
      <c r="I15" s="24">
        <f ca="1">INDIRECT("'"&amp;I3&amp;"'!bt"&amp;C2&amp;"")</f>
        <v>0</v>
      </c>
      <c r="J15" s="24">
        <f ca="1">INDIRECT("'"&amp;J3&amp;"'!bt"&amp;C2&amp;"")</f>
        <v>0</v>
      </c>
      <c r="K15" s="24">
        <f ca="1">INDIRECT("'"&amp;K3&amp;"'!bt"&amp;C2&amp;"")</f>
        <v>0</v>
      </c>
      <c r="L15" s="24">
        <f ca="1">INDIRECT("'"&amp;L3&amp;"'!bt"&amp;C2&amp;"")</f>
        <v>0</v>
      </c>
      <c r="M15" s="24">
        <f ca="1">INDIRECT("'"&amp;M3&amp;"'!bt"&amp;C2&amp;"")</f>
        <v>0</v>
      </c>
      <c r="N15" s="24">
        <f ca="1">INDIRECT("'"&amp;N3&amp;"'!bt"&amp;C2&amp;"")</f>
        <v>0</v>
      </c>
      <c r="O15" s="24">
        <f ca="1">INDIRECT("'"&amp;O3&amp;"'!bt"&amp;C2&amp;"")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INDIRECT("'"&amp;D3&amp;"'!cu"&amp;C1&amp;"")</f>
        <v>0</v>
      </c>
      <c r="E16" s="24">
        <f ca="1">INDIRECT("'"&amp;E3&amp;"'!cu"&amp;C1&amp;"")</f>
        <v>0</v>
      </c>
      <c r="F16" s="24">
        <f ca="1">INDIRECT("'"&amp;F3&amp;"'!cu"&amp;C1&amp;"")</f>
        <v>0</v>
      </c>
      <c r="G16" s="24">
        <f ca="1">INDIRECT("'"&amp;G3&amp;"'!cu"&amp;C1&amp;"")</f>
        <v>0</v>
      </c>
      <c r="H16" s="24">
        <f ca="1">INDIRECT("'"&amp;H3&amp;"'!cu"&amp;C1&amp;"")</f>
        <v>0</v>
      </c>
      <c r="I16" s="24">
        <f ca="1">INDIRECT("'"&amp;I3&amp;"'!cu"&amp;C1&amp;"")</f>
        <v>0</v>
      </c>
      <c r="J16" s="24">
        <f ca="1">INDIRECT("'"&amp;J3&amp;"'!cu"&amp;C1&amp;"")</f>
        <v>0</v>
      </c>
      <c r="K16" s="24">
        <f ca="1">INDIRECT("'"&amp;K3&amp;"'!cu"&amp;C1&amp;"")</f>
        <v>0</v>
      </c>
      <c r="L16" s="24">
        <f ca="1">INDIRECT("'"&amp;L3&amp;"'!cu"&amp;C1&amp;"")</f>
        <v>0</v>
      </c>
      <c r="M16" s="24">
        <f ca="1">INDIRECT("'"&amp;M3&amp;"'!cu"&amp;C1&amp;"")</f>
        <v>0</v>
      </c>
      <c r="N16" s="24">
        <f ca="1">INDIRECT("'"&amp;N3&amp;"'!cu"&amp;C1&amp;"")</f>
        <v>0</v>
      </c>
      <c r="O16" s="24">
        <f ca="1">INDIRECT("'"&amp;O3&amp;"'!cu"&amp;C1&amp;"")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INDIRECT("'"&amp;D3&amp;"'!cu"&amp;C2&amp;"")</f>
        <v>0</v>
      </c>
      <c r="E17" s="24">
        <f ca="1">INDIRECT("'"&amp;E3&amp;"'!cu"&amp;C2&amp;"")</f>
        <v>0</v>
      </c>
      <c r="F17" s="24">
        <f ca="1">INDIRECT("'"&amp;F3&amp;"'!cu"&amp;C2&amp;"")</f>
        <v>0</v>
      </c>
      <c r="G17" s="24">
        <f ca="1">INDIRECT("'"&amp;G3&amp;"'!cu"&amp;C2&amp;"")</f>
        <v>0</v>
      </c>
      <c r="H17" s="24">
        <f ca="1">INDIRECT("'"&amp;H3&amp;"'!cu"&amp;C2&amp;"")</f>
        <v>0</v>
      </c>
      <c r="I17" s="24">
        <f ca="1">INDIRECT("'"&amp;I3&amp;"'!cu"&amp;C2&amp;"")</f>
        <v>0</v>
      </c>
      <c r="J17" s="24">
        <f ca="1">INDIRECT("'"&amp;J3&amp;"'!cu"&amp;C2&amp;"")</f>
        <v>0</v>
      </c>
      <c r="K17" s="24">
        <f ca="1">INDIRECT("'"&amp;K3&amp;"'!cu"&amp;C2&amp;"")</f>
        <v>0</v>
      </c>
      <c r="L17" s="24">
        <f ca="1">INDIRECT("'"&amp;L3&amp;"'!cu"&amp;C2&amp;"")</f>
        <v>0</v>
      </c>
      <c r="M17" s="24">
        <f ca="1">INDIRECT("'"&amp;M3&amp;"'!cu"&amp;C2&amp;"")</f>
        <v>0</v>
      </c>
      <c r="N17" s="24">
        <f ca="1">INDIRECT("'"&amp;N3&amp;"'!cu"&amp;C2&amp;"")</f>
        <v>0</v>
      </c>
      <c r="O17" s="24">
        <f ca="1">INDIRECT("'"&amp;O3&amp;"'!cu"&amp;C2&amp;"")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INDIRECT("'"&amp;D3&amp;"'!cy"&amp;C1&amp;"")</f>
        <v>0</v>
      </c>
      <c r="E18" s="24">
        <f ca="1">INDIRECT("'"&amp;E3&amp;"'!cy"&amp;C1&amp;"")</f>
        <v>0</v>
      </c>
      <c r="F18" s="24">
        <f ca="1">INDIRECT("'"&amp;F3&amp;"'!cy"&amp;C1&amp;"")</f>
        <v>0</v>
      </c>
      <c r="G18" s="24">
        <f ca="1">INDIRECT("'"&amp;G3&amp;"'!cy"&amp;C1&amp;"")</f>
        <v>0</v>
      </c>
      <c r="H18" s="24">
        <f ca="1">INDIRECT("'"&amp;H3&amp;"'!cy"&amp;C1&amp;"")</f>
        <v>0</v>
      </c>
      <c r="I18" s="24">
        <f ca="1">INDIRECT("'"&amp;I3&amp;"'!cy"&amp;C1&amp;"")</f>
        <v>0</v>
      </c>
      <c r="J18" s="24">
        <f ca="1">INDIRECT("'"&amp;J3&amp;"'!cy"&amp;C1&amp;"")</f>
        <v>0</v>
      </c>
      <c r="K18" s="24">
        <f ca="1">INDIRECT("'"&amp;K3&amp;"'!cy"&amp;C1&amp;"")</f>
        <v>0</v>
      </c>
      <c r="L18" s="24">
        <f ca="1">INDIRECT("'"&amp;L3&amp;"'!cy"&amp;C1&amp;"")</f>
        <v>0</v>
      </c>
      <c r="M18" s="24">
        <f ca="1">INDIRECT("'"&amp;M3&amp;"'!cy"&amp;C1&amp;"")</f>
        <v>0</v>
      </c>
      <c r="N18" s="24">
        <f ca="1">INDIRECT("'"&amp;N3&amp;"'!cy"&amp;C1&amp;"")</f>
        <v>0</v>
      </c>
      <c r="O18" s="24">
        <f ca="1">INDIRECT("'"&amp;O3&amp;"'!cy"&amp;C1&amp;"")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INDIRECT("'"&amp;D3&amp;"'!cy"&amp;C2&amp;"")</f>
        <v>0</v>
      </c>
      <c r="E19" s="24">
        <f ca="1">INDIRECT("'"&amp;E3&amp;"'!cy"&amp;C2&amp;"")</f>
        <v>0</v>
      </c>
      <c r="F19" s="24">
        <f ca="1">INDIRECT("'"&amp;F3&amp;"'!cy"&amp;C2&amp;"")</f>
        <v>0</v>
      </c>
      <c r="G19" s="24">
        <f ca="1">INDIRECT("'"&amp;G3&amp;"'!cy"&amp;C2&amp;"")</f>
        <v>0</v>
      </c>
      <c r="H19" s="24">
        <f ca="1">INDIRECT("'"&amp;H3&amp;"'!cy"&amp;C2&amp;"")</f>
        <v>0</v>
      </c>
      <c r="I19" s="24">
        <f ca="1">INDIRECT("'"&amp;I3&amp;"'!cy"&amp;C2&amp;"")</f>
        <v>0</v>
      </c>
      <c r="J19" s="24">
        <f ca="1">INDIRECT("'"&amp;J3&amp;"'!cy"&amp;C2&amp;"")</f>
        <v>0</v>
      </c>
      <c r="K19" s="24">
        <f ca="1">INDIRECT("'"&amp;K3&amp;"'!cy"&amp;C2&amp;"")</f>
        <v>0</v>
      </c>
      <c r="L19" s="24">
        <f ca="1">INDIRECT("'"&amp;L3&amp;"'!cy"&amp;C2&amp;"")</f>
        <v>0</v>
      </c>
      <c r="M19" s="24">
        <f ca="1">INDIRECT("'"&amp;M3&amp;"'!cy"&amp;C2&amp;"")</f>
        <v>0</v>
      </c>
      <c r="N19" s="24">
        <f ca="1">INDIRECT("'"&amp;N3&amp;"'!cy"&amp;C2&amp;"")</f>
        <v>0</v>
      </c>
      <c r="O19" s="24">
        <f ca="1">INDIRECT("'"&amp;O3&amp;"'!cy"&amp;C2&amp;"")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INDIRECT("'"&amp;D3&amp;"'!cj"&amp;C1&amp;"")</f>
        <v>0</v>
      </c>
      <c r="E20" s="24">
        <f ca="1">INDIRECT("'"&amp;E3&amp;"'!cj"&amp;C1&amp;"")</f>
        <v>0</v>
      </c>
      <c r="F20" s="24">
        <f ca="1">INDIRECT("'"&amp;F3&amp;"'!cj"&amp;C1&amp;"")</f>
        <v>0</v>
      </c>
      <c r="G20" s="24">
        <f ca="1">INDIRECT("'"&amp;G3&amp;"'!cj"&amp;C1&amp;"")</f>
        <v>0</v>
      </c>
      <c r="H20" s="24">
        <f ca="1">INDIRECT("'"&amp;H3&amp;"'!cj"&amp;C1&amp;"")</f>
        <v>0</v>
      </c>
      <c r="I20" s="24">
        <f ca="1">INDIRECT("'"&amp;I3&amp;"'!cj"&amp;C1&amp;"")</f>
        <v>0</v>
      </c>
      <c r="J20" s="24">
        <f ca="1">INDIRECT("'"&amp;J3&amp;"'!cj"&amp;C1&amp;"")</f>
        <v>0</v>
      </c>
      <c r="K20" s="24">
        <f ca="1">INDIRECT("'"&amp;K3&amp;"'!cj"&amp;C1&amp;"")</f>
        <v>0</v>
      </c>
      <c r="L20" s="24">
        <f ca="1">INDIRECT("'"&amp;L3&amp;"'!cj"&amp;C1&amp;"")</f>
        <v>0</v>
      </c>
      <c r="M20" s="24">
        <f ca="1">INDIRECT("'"&amp;M3&amp;"'!cj"&amp;C1&amp;"")</f>
        <v>0</v>
      </c>
      <c r="N20" s="24">
        <f ca="1">INDIRECT("'"&amp;N3&amp;"'!cj"&amp;C1&amp;"")</f>
        <v>0</v>
      </c>
      <c r="O20" s="24">
        <f ca="1">INDIRECT("'"&amp;O3&amp;"'!cj"&amp;C1&amp;"")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INDIRECT("'"&amp;D3&amp;"'!cj"&amp;C2&amp;"")</f>
        <v>0</v>
      </c>
      <c r="E21" s="24">
        <f ca="1">INDIRECT("'"&amp;E3&amp;"'!cj"&amp;C2&amp;"")</f>
        <v>0</v>
      </c>
      <c r="F21" s="24">
        <f ca="1">INDIRECT("'"&amp;F3&amp;"'!cj"&amp;C2&amp;"")</f>
        <v>0</v>
      </c>
      <c r="G21" s="24">
        <f ca="1">INDIRECT("'"&amp;G3&amp;"'!cj"&amp;C2&amp;"")</f>
        <v>0</v>
      </c>
      <c r="H21" s="24">
        <f ca="1">INDIRECT("'"&amp;H3&amp;"'!cj"&amp;C2&amp;"")</f>
        <v>0</v>
      </c>
      <c r="I21" s="24">
        <f ca="1">INDIRECT("'"&amp;I3&amp;"'!cj"&amp;C2&amp;"")</f>
        <v>0</v>
      </c>
      <c r="J21" s="24">
        <f ca="1">INDIRECT("'"&amp;J3&amp;"'!cj"&amp;C2&amp;"")</f>
        <v>0</v>
      </c>
      <c r="K21" s="24">
        <f ca="1">INDIRECT("'"&amp;K3&amp;"'!cj"&amp;C2&amp;"")</f>
        <v>0</v>
      </c>
      <c r="L21" s="24">
        <f ca="1">INDIRECT("'"&amp;L3&amp;"'!cj"&amp;C2&amp;"")</f>
        <v>0</v>
      </c>
      <c r="M21" s="24">
        <f ca="1">INDIRECT("'"&amp;M3&amp;"'!cj"&amp;C2&amp;"")</f>
        <v>0</v>
      </c>
      <c r="N21" s="24">
        <f ca="1">INDIRECT("'"&amp;N3&amp;"'!cj"&amp;C2&amp;"")</f>
        <v>0</v>
      </c>
      <c r="O21" s="24">
        <f ca="1">INDIRECT("'"&amp;O3&amp;"'!cj"&amp;C2&amp;"")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INDIRECT("'"&amp;D3&amp;"'!cf"&amp;C1&amp;"")</f>
        <v>0</v>
      </c>
      <c r="E22" s="24">
        <f ca="1">INDIRECT("'"&amp;E3&amp;"'!cf"&amp;C1&amp;"")</f>
        <v>0</v>
      </c>
      <c r="F22" s="24">
        <f ca="1">INDIRECT("'"&amp;F3&amp;"'!cf"&amp;C1&amp;"")</f>
        <v>0</v>
      </c>
      <c r="G22" s="24">
        <f ca="1">INDIRECT("'"&amp;G3&amp;"'!cf"&amp;C1&amp;"")</f>
        <v>0</v>
      </c>
      <c r="H22" s="24">
        <f ca="1">INDIRECT("'"&amp;H3&amp;"'!cf"&amp;C1&amp;"")</f>
        <v>0</v>
      </c>
      <c r="I22" s="24">
        <f ca="1">INDIRECT("'"&amp;I3&amp;"'!cf"&amp;C1&amp;"")</f>
        <v>0</v>
      </c>
      <c r="J22" s="24">
        <f ca="1">INDIRECT("'"&amp;J3&amp;"'!cf"&amp;C1&amp;"")</f>
        <v>0</v>
      </c>
      <c r="K22" s="24">
        <f ca="1">INDIRECT("'"&amp;K3&amp;"'!cf"&amp;C1&amp;"")</f>
        <v>0</v>
      </c>
      <c r="L22" s="24">
        <f ca="1">INDIRECT("'"&amp;L3&amp;"'!cf"&amp;C1&amp;"")</f>
        <v>0</v>
      </c>
      <c r="M22" s="24">
        <f ca="1">INDIRECT("'"&amp;M3&amp;"'!cf"&amp;C1&amp;"")</f>
        <v>0</v>
      </c>
      <c r="N22" s="24">
        <f ca="1">INDIRECT("'"&amp;N3&amp;"'!cf"&amp;C1&amp;"")</f>
        <v>0</v>
      </c>
      <c r="O22" s="24">
        <f ca="1">INDIRECT("'"&amp;O3&amp;"'!cf"&amp;C1&amp;"")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INDIRECT("'"&amp;D3&amp;"'!cf"&amp;C2&amp;"")</f>
        <v>0</v>
      </c>
      <c r="E23" s="24">
        <f ca="1">INDIRECT("'"&amp;E3&amp;"'!cf"&amp;C2&amp;"")</f>
        <v>0</v>
      </c>
      <c r="F23" s="24">
        <f ca="1">INDIRECT("'"&amp;F3&amp;"'!cf"&amp;C2&amp;"")</f>
        <v>0</v>
      </c>
      <c r="G23" s="24">
        <f ca="1">INDIRECT("'"&amp;G3&amp;"'!cf"&amp;C2&amp;"")</f>
        <v>0</v>
      </c>
      <c r="H23" s="24">
        <f ca="1">INDIRECT("'"&amp;H3&amp;"'!cf"&amp;C2&amp;"")</f>
        <v>0</v>
      </c>
      <c r="I23" s="24">
        <f ca="1">INDIRECT("'"&amp;I3&amp;"'!cf"&amp;C2&amp;"")</f>
        <v>0</v>
      </c>
      <c r="J23" s="24">
        <f ca="1">INDIRECT("'"&amp;J3&amp;"'!cf"&amp;C2&amp;"")</f>
        <v>0</v>
      </c>
      <c r="K23" s="24">
        <f ca="1">INDIRECT("'"&amp;K3&amp;"'!cf"&amp;C2&amp;"")</f>
        <v>0</v>
      </c>
      <c r="L23" s="24">
        <f ca="1">INDIRECT("'"&amp;L3&amp;"'!cf"&amp;C2&amp;"")</f>
        <v>0</v>
      </c>
      <c r="M23" s="24">
        <f ca="1">INDIRECT("'"&amp;M3&amp;"'!cf"&amp;C2&amp;"")</f>
        <v>0</v>
      </c>
      <c r="N23" s="24">
        <f ca="1">INDIRECT("'"&amp;N3&amp;"'!cf"&amp;C2&amp;"")</f>
        <v>0</v>
      </c>
      <c r="O23" s="24">
        <f ca="1">INDIRECT("'"&amp;O3&amp;"'!cf"&amp;C2&amp;"")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INDIRECT("'"&amp;D3&amp;"'!cn"&amp;C1&amp;"")</f>
        <v>0</v>
      </c>
      <c r="E24" s="24">
        <f ca="1">INDIRECT("'"&amp;E3&amp;"'!cn"&amp;C1&amp;"")</f>
        <v>0</v>
      </c>
      <c r="F24" s="24">
        <f ca="1">INDIRECT("'"&amp;F3&amp;"'!cn"&amp;C1&amp;"")</f>
        <v>0</v>
      </c>
      <c r="G24" s="24">
        <f ca="1">INDIRECT("'"&amp;G3&amp;"'!cn"&amp;C1&amp;"")</f>
        <v>0</v>
      </c>
      <c r="H24" s="24">
        <f ca="1">INDIRECT("'"&amp;H3&amp;"'!cn"&amp;C1&amp;"")</f>
        <v>0</v>
      </c>
      <c r="I24" s="24">
        <f ca="1">INDIRECT("'"&amp;I3&amp;"'!cn"&amp;C1&amp;"")</f>
        <v>0</v>
      </c>
      <c r="J24" s="24">
        <f ca="1">INDIRECT("'"&amp;J3&amp;"'!cn"&amp;C1&amp;"")</f>
        <v>0</v>
      </c>
      <c r="K24" s="24">
        <f ca="1">INDIRECT("'"&amp;K3&amp;"'!cn"&amp;C1&amp;"")</f>
        <v>0</v>
      </c>
      <c r="L24" s="24">
        <f ca="1">INDIRECT("'"&amp;L3&amp;"'!cn"&amp;C1&amp;"")</f>
        <v>0</v>
      </c>
      <c r="M24" s="24">
        <f ca="1">INDIRECT("'"&amp;M3&amp;"'!cn"&amp;C1&amp;"")</f>
        <v>0</v>
      </c>
      <c r="N24" s="24">
        <f ca="1">INDIRECT("'"&amp;N3&amp;"'!cn"&amp;C1&amp;"")</f>
        <v>0</v>
      </c>
      <c r="O24" s="24">
        <f ca="1">INDIRECT("'"&amp;O3&amp;"'!cn"&amp;C1&amp;"")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INDIRECT("'"&amp;D3&amp;"'!cn"&amp;C2&amp;"")</f>
        <v>0</v>
      </c>
      <c r="E25" s="24">
        <f ca="1">INDIRECT("'"&amp;E3&amp;"'!cn"&amp;C2&amp;"")</f>
        <v>0</v>
      </c>
      <c r="F25" s="24">
        <f ca="1">INDIRECT("'"&amp;F3&amp;"'!cn"&amp;C2&amp;"")</f>
        <v>0</v>
      </c>
      <c r="G25" s="24">
        <f ca="1">INDIRECT("'"&amp;G3&amp;"'!cn"&amp;C2&amp;"")</f>
        <v>0</v>
      </c>
      <c r="H25" s="24">
        <f ca="1">INDIRECT("'"&amp;H3&amp;"'!cn"&amp;C2&amp;"")</f>
        <v>0</v>
      </c>
      <c r="I25" s="24">
        <f ca="1">INDIRECT("'"&amp;I3&amp;"'!cn"&amp;C2&amp;"")</f>
        <v>0</v>
      </c>
      <c r="J25" s="24">
        <f ca="1">INDIRECT("'"&amp;J3&amp;"'!cn"&amp;C2&amp;"")</f>
        <v>0</v>
      </c>
      <c r="K25" s="24">
        <f ca="1">INDIRECT("'"&amp;K3&amp;"'!cn"&amp;C2&amp;"")</f>
        <v>0</v>
      </c>
      <c r="L25" s="24">
        <f ca="1">INDIRECT("'"&amp;L3&amp;"'!cn"&amp;C2&amp;"")</f>
        <v>0</v>
      </c>
      <c r="M25" s="24">
        <f ca="1">INDIRECT("'"&amp;M3&amp;"'!cn"&amp;C2&amp;"")</f>
        <v>0</v>
      </c>
      <c r="N25" s="24">
        <f ca="1">INDIRECT("'"&amp;N3&amp;"'!cn"&amp;C2&amp;"")</f>
        <v>0</v>
      </c>
      <c r="O25" s="24">
        <f ca="1">INDIRECT("'"&amp;O3&amp;"'!cn"&amp;C2&amp;"")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INDIRECT("'"&amp;D3&amp;"'!dc"&amp;C1&amp;"")</f>
        <v>0</v>
      </c>
      <c r="E26" s="24">
        <f ca="1">INDIRECT("'"&amp;E3&amp;"'!dc"&amp;C1&amp;"")</f>
        <v>0</v>
      </c>
      <c r="F26" s="24">
        <f ca="1">INDIRECT("'"&amp;F3&amp;"'!dc"&amp;C1&amp;"")</f>
        <v>0</v>
      </c>
      <c r="G26" s="24">
        <f ca="1">INDIRECT("'"&amp;G3&amp;"'!dc"&amp;C1&amp;"")</f>
        <v>0</v>
      </c>
      <c r="H26" s="24">
        <f ca="1">INDIRECT("'"&amp;H3&amp;"'!dc"&amp;C1&amp;"")</f>
        <v>0</v>
      </c>
      <c r="I26" s="24">
        <f ca="1">INDIRECT("'"&amp;I3&amp;"'!dc"&amp;C1&amp;"")</f>
        <v>0</v>
      </c>
      <c r="J26" s="24">
        <f ca="1">INDIRECT("'"&amp;J3&amp;"'!dc"&amp;C1&amp;"")</f>
        <v>0</v>
      </c>
      <c r="K26" s="24">
        <f ca="1">INDIRECT("'"&amp;K3&amp;"'!dc"&amp;C1&amp;"")</f>
        <v>0</v>
      </c>
      <c r="L26" s="24">
        <f ca="1">INDIRECT("'"&amp;L3&amp;"'!dc"&amp;C1&amp;"")</f>
        <v>0</v>
      </c>
      <c r="M26" s="24">
        <f ca="1">INDIRECT("'"&amp;M3&amp;"'!dc"&amp;C1&amp;"")</f>
        <v>0</v>
      </c>
      <c r="N26" s="24">
        <f ca="1">INDIRECT("'"&amp;N3&amp;"'!dc"&amp;C1&amp;"")</f>
        <v>0</v>
      </c>
      <c r="O26" s="24">
        <f ca="1">INDIRECT("'"&amp;O3&amp;"'!dc"&amp;C1&amp;"")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INDIRECT("'"&amp;D3&amp;"'!dc"&amp;C2&amp;"")</f>
        <v>0</v>
      </c>
      <c r="E27" s="24">
        <f ca="1">INDIRECT("'"&amp;E3&amp;"'!dc"&amp;C2&amp;"")</f>
        <v>0</v>
      </c>
      <c r="F27" s="24">
        <f ca="1">INDIRECT("'"&amp;F3&amp;"'!dc"&amp;C2&amp;"")</f>
        <v>0</v>
      </c>
      <c r="G27" s="24">
        <f ca="1">INDIRECT("'"&amp;G3&amp;"'!dc"&amp;C2&amp;"")</f>
        <v>0</v>
      </c>
      <c r="H27" s="24">
        <f ca="1">INDIRECT("'"&amp;H3&amp;"'!dc"&amp;C2&amp;"")</f>
        <v>0</v>
      </c>
      <c r="I27" s="24">
        <f ca="1">INDIRECT("'"&amp;I3&amp;"'!dc"&amp;C2&amp;"")</f>
        <v>0</v>
      </c>
      <c r="J27" s="24">
        <f ca="1">INDIRECT("'"&amp;J3&amp;"'!dc"&amp;C2&amp;"")</f>
        <v>0</v>
      </c>
      <c r="K27" s="24">
        <f ca="1">INDIRECT("'"&amp;K3&amp;"'!dc"&amp;C2&amp;"")</f>
        <v>0</v>
      </c>
      <c r="L27" s="24">
        <f ca="1">INDIRECT("'"&amp;L3&amp;"'!dc"&amp;C2&amp;"")</f>
        <v>0</v>
      </c>
      <c r="M27" s="24">
        <f ca="1">INDIRECT("'"&amp;M3&amp;"'!dc"&amp;C2&amp;"")</f>
        <v>0</v>
      </c>
      <c r="N27" s="24">
        <f ca="1">INDIRECT("'"&amp;N3&amp;"'!dc"&amp;C2&amp;"")</f>
        <v>0</v>
      </c>
      <c r="O27" s="24">
        <f ca="1">INDIRECT("'"&amp;O3&amp;"'!dc"&amp;C2&amp;"")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INDIRECT("'"&amp;D3&amp;"'!av"&amp;C1&amp;"")</f>
        <v>0</v>
      </c>
      <c r="E28" s="24">
        <f ca="1">INDIRECT("'"&amp;E3&amp;"'!av"&amp;C1&amp;"")</f>
        <v>0</v>
      </c>
      <c r="F28" s="24">
        <f ca="1">INDIRECT("'"&amp;F3&amp;"'!av"&amp;C1&amp;"")</f>
        <v>0</v>
      </c>
      <c r="G28" s="24">
        <f ca="1">INDIRECT("'"&amp;G3&amp;"'!av"&amp;C1&amp;"")</f>
        <v>0</v>
      </c>
      <c r="H28" s="24">
        <f ca="1">INDIRECT("'"&amp;H3&amp;"'!av"&amp;C1&amp;"")</f>
        <v>0</v>
      </c>
      <c r="I28" s="24">
        <f ca="1">INDIRECT("'"&amp;I3&amp;"'!av"&amp;C1&amp;"")</f>
        <v>0</v>
      </c>
      <c r="J28" s="24">
        <f ca="1">INDIRECT("'"&amp;J3&amp;"'!av"&amp;C1&amp;"")</f>
        <v>0</v>
      </c>
      <c r="K28" s="24">
        <f ca="1">INDIRECT("'"&amp;K3&amp;"'!av"&amp;C1&amp;"")</f>
        <v>0</v>
      </c>
      <c r="L28" s="24">
        <f ca="1">INDIRECT("'"&amp;L3&amp;"'!av"&amp;C1&amp;"")</f>
        <v>0</v>
      </c>
      <c r="M28" s="24">
        <f ca="1">INDIRECT("'"&amp;M3&amp;"'!av"&amp;C1&amp;"")</f>
        <v>0</v>
      </c>
      <c r="N28" s="24">
        <f ca="1">INDIRECT("'"&amp;N3&amp;"'!av"&amp;C1&amp;"")</f>
        <v>0</v>
      </c>
      <c r="O28" s="24">
        <f ca="1">INDIRECT("'"&amp;O3&amp;"'!av"&amp;C1&amp;"")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INDIRECT("'"&amp;D3&amp;"'!av"&amp;C2&amp;"")</f>
        <v>0</v>
      </c>
      <c r="E29" s="24">
        <f ca="1">INDIRECT("'"&amp;E3&amp;"'!av"&amp;C2&amp;"")</f>
        <v>0</v>
      </c>
      <c r="F29" s="24">
        <f ca="1">INDIRECT("'"&amp;F3&amp;"'!av"&amp;C2&amp;"")</f>
        <v>0</v>
      </c>
      <c r="G29" s="24">
        <f ca="1">INDIRECT("'"&amp;G3&amp;"'!av"&amp;C2&amp;"")</f>
        <v>0</v>
      </c>
      <c r="H29" s="24">
        <f ca="1">INDIRECT("'"&amp;H3&amp;"'!av"&amp;C2&amp;"")</f>
        <v>0</v>
      </c>
      <c r="I29" s="24">
        <f ca="1">INDIRECT("'"&amp;I3&amp;"'!av"&amp;C2&amp;"")</f>
        <v>0</v>
      </c>
      <c r="J29" s="24">
        <f ca="1">INDIRECT("'"&amp;J3&amp;"'!av"&amp;C2&amp;"")</f>
        <v>0</v>
      </c>
      <c r="K29" s="24">
        <f ca="1">INDIRECT("'"&amp;K3&amp;"'!av"&amp;C2&amp;"")</f>
        <v>0</v>
      </c>
      <c r="L29" s="24">
        <f ca="1">INDIRECT("'"&amp;L3&amp;"'!av"&amp;C2&amp;"")</f>
        <v>0</v>
      </c>
      <c r="M29" s="24">
        <f ca="1">INDIRECT("'"&amp;M3&amp;"'!av"&amp;C2&amp;"")</f>
        <v>0</v>
      </c>
      <c r="N29" s="24">
        <f ca="1">INDIRECT("'"&amp;N3&amp;"'!av"&amp;C2&amp;"")</f>
        <v>0</v>
      </c>
      <c r="O29" s="24">
        <f ca="1">INDIRECT("'"&amp;O3&amp;"'!av"&amp;C2&amp;"")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INDIRECT("'"&amp;D3&amp;"'!cq"&amp;C1&amp;"")</f>
        <v>0</v>
      </c>
      <c r="E30" s="24">
        <f ca="1">INDIRECT("'"&amp;E3&amp;"'!cq"&amp;C1&amp;"")</f>
        <v>0</v>
      </c>
      <c r="F30" s="24">
        <f ca="1">INDIRECT("'"&amp;F3&amp;"'!cq"&amp;C1&amp;"")</f>
        <v>0</v>
      </c>
      <c r="G30" s="24">
        <f ca="1">INDIRECT("'"&amp;G3&amp;"'!cq"&amp;C1&amp;"")</f>
        <v>0</v>
      </c>
      <c r="H30" s="24">
        <f ca="1">INDIRECT("'"&amp;H3&amp;"'!cq"&amp;C1&amp;"")</f>
        <v>0</v>
      </c>
      <c r="I30" s="24">
        <f ca="1">INDIRECT("'"&amp;I3&amp;"'!cq"&amp;C1&amp;"")</f>
        <v>0</v>
      </c>
      <c r="J30" s="24">
        <f ca="1">INDIRECT("'"&amp;J3&amp;"'!cq"&amp;C1&amp;"")</f>
        <v>0</v>
      </c>
      <c r="K30" s="24">
        <f ca="1">INDIRECT("'"&amp;K3&amp;"'!cq"&amp;C1&amp;"")</f>
        <v>0</v>
      </c>
      <c r="L30" s="24">
        <f ca="1">INDIRECT("'"&amp;L3&amp;"'!cq"&amp;C1&amp;"")</f>
        <v>0</v>
      </c>
      <c r="M30" s="24">
        <f ca="1">INDIRECT("'"&amp;M3&amp;"'!cq"&amp;C1&amp;"")</f>
        <v>0</v>
      </c>
      <c r="N30" s="24">
        <f ca="1">INDIRECT("'"&amp;N3&amp;"'!cq"&amp;C1&amp;"")</f>
        <v>0</v>
      </c>
      <c r="O30" s="24">
        <f ca="1">INDIRECT("'"&amp;O3&amp;"'!cq"&amp;C1&amp;"")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INDIRECT("'"&amp;D3&amp;"'!cq"&amp;C2&amp;"")</f>
        <v>0</v>
      </c>
      <c r="E31" s="24">
        <f ca="1">INDIRECT("'"&amp;E3&amp;"'!cq"&amp;C2&amp;"")</f>
        <v>0</v>
      </c>
      <c r="F31" s="24">
        <f ca="1">INDIRECT("'"&amp;F3&amp;"'!cq"&amp;C2&amp;"")</f>
        <v>0</v>
      </c>
      <c r="G31" s="24">
        <f ca="1">INDIRECT("'"&amp;G3&amp;"'!cq"&amp;C2&amp;"")</f>
        <v>0</v>
      </c>
      <c r="H31" s="24">
        <f ca="1">INDIRECT("'"&amp;H3&amp;"'!cq"&amp;C2&amp;"")</f>
        <v>0</v>
      </c>
      <c r="I31" s="24">
        <f ca="1">INDIRECT("'"&amp;I3&amp;"'!cq"&amp;C2&amp;"")</f>
        <v>0</v>
      </c>
      <c r="J31" s="24">
        <f ca="1">INDIRECT("'"&amp;J3&amp;"'!cq"&amp;C2&amp;"")</f>
        <v>0</v>
      </c>
      <c r="K31" s="24">
        <f ca="1">INDIRECT("'"&amp;K3&amp;"'!cq"&amp;C2&amp;"")</f>
        <v>0</v>
      </c>
      <c r="L31" s="24">
        <f ca="1">INDIRECT("'"&amp;L3&amp;"'!cq"&amp;C2&amp;"")</f>
        <v>0</v>
      </c>
      <c r="M31" s="24">
        <f ca="1">INDIRECT("'"&amp;M3&amp;"'!cq"&amp;C2&amp;"")</f>
        <v>0</v>
      </c>
      <c r="N31" s="24">
        <f ca="1">INDIRECT("'"&amp;N3&amp;"'!cq"&amp;C2&amp;"")</f>
        <v>0</v>
      </c>
      <c r="O31" s="24">
        <f ca="1">INDIRECT("'"&amp;O3&amp;"'!cq"&amp;C2&amp;"")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INDIRECT("'"&amp;D3&amp;"'!eo"&amp;C1&amp;"")</f>
        <v>0</v>
      </c>
      <c r="E32" s="24">
        <f ca="1">INDIRECT("'"&amp;E3&amp;"'!eo"&amp;C1&amp;"")</f>
        <v>0</v>
      </c>
      <c r="F32" s="24">
        <f ca="1">INDIRECT("'"&amp;F3&amp;"'!eo"&amp;C1&amp;"")</f>
        <v>0</v>
      </c>
      <c r="G32" s="24">
        <f ca="1">INDIRECT("'"&amp;G3&amp;"'!eo"&amp;C1&amp;"")</f>
        <v>0</v>
      </c>
      <c r="H32" s="24">
        <f ca="1">INDIRECT("'"&amp;H3&amp;"'!eo"&amp;C1&amp;"")</f>
        <v>0</v>
      </c>
      <c r="I32" s="24">
        <f ca="1">INDIRECT("'"&amp;I3&amp;"'!eo"&amp;C1&amp;"")</f>
        <v>0</v>
      </c>
      <c r="J32" s="24">
        <f ca="1">INDIRECT("'"&amp;J3&amp;"'!eo"&amp;C1&amp;"")</f>
        <v>0</v>
      </c>
      <c r="K32" s="24">
        <f ca="1">INDIRECT("'"&amp;K3&amp;"'!eo"&amp;C1&amp;"")</f>
        <v>0</v>
      </c>
      <c r="L32" s="24">
        <f ca="1">INDIRECT("'"&amp;L3&amp;"'!eo"&amp;C1&amp;"")</f>
        <v>0</v>
      </c>
      <c r="M32" s="24">
        <f ca="1">INDIRECT("'"&amp;M3&amp;"'!eo"&amp;C1&amp;"")</f>
        <v>0</v>
      </c>
      <c r="N32" s="24">
        <f ca="1">INDIRECT("'"&amp;N3&amp;"'!eo"&amp;C1&amp;"")</f>
        <v>0</v>
      </c>
      <c r="O32" s="24">
        <f ca="1">INDIRECT("'"&amp;O3&amp;"'!eo"&amp;C1&amp;"")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INDIRECT("'"&amp;D3&amp;"'!eo"&amp;C2&amp;"")</f>
        <v>0</v>
      </c>
      <c r="E33" s="24">
        <f ca="1">INDIRECT("'"&amp;E3&amp;"'!eo"&amp;C2&amp;"")</f>
        <v>0</v>
      </c>
      <c r="F33" s="24">
        <f ca="1">INDIRECT("'"&amp;F3&amp;"'!eo"&amp;C2&amp;"")</f>
        <v>0</v>
      </c>
      <c r="G33" s="24">
        <f ca="1">INDIRECT("'"&amp;G3&amp;"'!eo"&amp;C2&amp;"")</f>
        <v>0</v>
      </c>
      <c r="H33" s="24">
        <f ca="1">INDIRECT("'"&amp;H3&amp;"'!eo"&amp;C2&amp;"")</f>
        <v>0</v>
      </c>
      <c r="I33" s="24">
        <f ca="1">INDIRECT("'"&amp;I3&amp;"'!eo"&amp;C2&amp;"")</f>
        <v>0</v>
      </c>
      <c r="J33" s="24">
        <f ca="1">INDIRECT("'"&amp;J3&amp;"'!eo"&amp;C2&amp;"")</f>
        <v>0</v>
      </c>
      <c r="K33" s="24">
        <f ca="1">INDIRECT("'"&amp;K3&amp;"'!eo"&amp;C2&amp;"")</f>
        <v>0</v>
      </c>
      <c r="L33" s="24">
        <f ca="1">INDIRECT("'"&amp;L3&amp;"'!eo"&amp;C2&amp;"")</f>
        <v>0</v>
      </c>
      <c r="M33" s="24">
        <f ca="1">INDIRECT("'"&amp;M3&amp;"'!eo"&amp;C2&amp;"")</f>
        <v>0</v>
      </c>
      <c r="N33" s="24">
        <f ca="1">INDIRECT("'"&amp;N3&amp;"'!eo"&amp;C2&amp;"")</f>
        <v>0</v>
      </c>
      <c r="O33" s="24">
        <f ca="1">INDIRECT("'"&amp;O3&amp;"'!eo"&amp;C2&amp;"")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INDIRECT("'"&amp;D3&amp;"'!dr"&amp;C1&amp;"")</f>
        <v>0</v>
      </c>
      <c r="E34" s="24">
        <f ca="1">INDIRECT("'"&amp;E3&amp;"'!dr"&amp;C1&amp;"")</f>
        <v>0</v>
      </c>
      <c r="F34" s="24">
        <f ca="1">INDIRECT("'"&amp;F3&amp;"'!dr"&amp;C1&amp;"")</f>
        <v>0</v>
      </c>
      <c r="G34" s="24">
        <f ca="1">INDIRECT("'"&amp;G3&amp;"'!dr"&amp;C1&amp;"")</f>
        <v>0</v>
      </c>
      <c r="H34" s="24">
        <f ca="1">INDIRECT("'"&amp;H3&amp;"'!dr"&amp;C1&amp;"")</f>
        <v>0</v>
      </c>
      <c r="I34" s="24">
        <f ca="1">INDIRECT("'"&amp;I3&amp;"'!dr"&amp;C1&amp;"")</f>
        <v>0</v>
      </c>
      <c r="J34" s="24">
        <f ca="1">INDIRECT("'"&amp;J3&amp;"'!dr"&amp;C1&amp;"")</f>
        <v>0</v>
      </c>
      <c r="K34" s="24">
        <f ca="1">INDIRECT("'"&amp;K3&amp;"'!dr"&amp;C1&amp;"")</f>
        <v>0</v>
      </c>
      <c r="L34" s="24">
        <f ca="1">INDIRECT("'"&amp;L3&amp;"'!dr"&amp;C1&amp;"")</f>
        <v>0</v>
      </c>
      <c r="M34" s="24">
        <f ca="1">INDIRECT("'"&amp;M3&amp;"'!dr"&amp;C1&amp;"")</f>
        <v>0</v>
      </c>
      <c r="N34" s="24">
        <f ca="1">INDIRECT("'"&amp;N3&amp;"'!dr"&amp;C1&amp;"")</f>
        <v>0</v>
      </c>
      <c r="O34" s="24">
        <f ca="1">INDIRECT("'"&amp;O3&amp;"'!dr"&amp;C1&amp;"")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INDIRECT("'"&amp;D3&amp;"'!dr"&amp;C2&amp;"")</f>
        <v>0</v>
      </c>
      <c r="E35" s="24">
        <f ca="1">INDIRECT("'"&amp;E3&amp;"'!dr"&amp;C2&amp;"")</f>
        <v>0</v>
      </c>
      <c r="F35" s="24">
        <f ca="1">INDIRECT("'"&amp;F3&amp;"'!dr"&amp;C2&amp;"")</f>
        <v>0</v>
      </c>
      <c r="G35" s="24">
        <f ca="1">INDIRECT("'"&amp;G3&amp;"'!dr"&amp;C2&amp;"")</f>
        <v>0</v>
      </c>
      <c r="H35" s="24">
        <f ca="1">INDIRECT("'"&amp;H3&amp;"'!dr"&amp;C2&amp;"")</f>
        <v>0</v>
      </c>
      <c r="I35" s="24">
        <f ca="1">INDIRECT("'"&amp;I3&amp;"'!dr"&amp;C2&amp;"")</f>
        <v>0</v>
      </c>
      <c r="J35" s="24">
        <f ca="1">INDIRECT("'"&amp;J3&amp;"'!dr"&amp;C2&amp;"")</f>
        <v>0</v>
      </c>
      <c r="K35" s="24">
        <f ca="1">INDIRECT("'"&amp;K3&amp;"'!dr"&amp;C2&amp;"")</f>
        <v>0</v>
      </c>
      <c r="L35" s="24">
        <f ca="1">INDIRECT("'"&amp;L3&amp;"'!dr"&amp;C2&amp;"")</f>
        <v>0</v>
      </c>
      <c r="M35" s="24">
        <f ca="1">INDIRECT("'"&amp;M3&amp;"'!dr"&amp;C2&amp;"")</f>
        <v>0</v>
      </c>
      <c r="N35" s="24">
        <f ca="1">INDIRECT("'"&amp;N3&amp;"'!dr"&amp;C2&amp;"")</f>
        <v>0</v>
      </c>
      <c r="O35" s="24">
        <f ca="1">INDIRECT("'"&amp;O3&amp;"'!dr"&amp;C2&amp;"")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INDIRECT("'"&amp;D3&amp;"'!i"&amp;C1&amp;"")</f>
        <v>0</v>
      </c>
      <c r="E36" s="24">
        <f ca="1">INDIRECT("'"&amp;E3&amp;"'!i"&amp;C1&amp;"")</f>
        <v>0</v>
      </c>
      <c r="F36" s="24">
        <f ca="1">INDIRECT("'"&amp;F3&amp;"'!i"&amp;C1&amp;"")</f>
        <v>0</v>
      </c>
      <c r="G36" s="24">
        <f ca="1">INDIRECT("'"&amp;G3&amp;"'!i"&amp;C1&amp;"")</f>
        <v>0</v>
      </c>
      <c r="H36" s="24">
        <f ca="1">INDIRECT("'"&amp;H3&amp;"'!i"&amp;C1&amp;"")</f>
        <v>0</v>
      </c>
      <c r="I36" s="24">
        <f ca="1">INDIRECT("'"&amp;I3&amp;"'!i"&amp;C1&amp;"")</f>
        <v>0</v>
      </c>
      <c r="J36" s="24">
        <f ca="1">INDIRECT("'"&amp;J3&amp;"'!i"&amp;C1&amp;"")</f>
        <v>0</v>
      </c>
      <c r="K36" s="24">
        <f ca="1">INDIRECT("'"&amp;K3&amp;"'!i"&amp;C1&amp;"")</f>
        <v>0</v>
      </c>
      <c r="L36" s="24">
        <f ca="1">INDIRECT("'"&amp;L3&amp;"'!i"&amp;C1&amp;"")</f>
        <v>0</v>
      </c>
      <c r="M36" s="24">
        <f ca="1">INDIRECT("'"&amp;M3&amp;"'!i"&amp;C1&amp;"")</f>
        <v>0</v>
      </c>
      <c r="N36" s="24">
        <f ca="1">INDIRECT("'"&amp;N3&amp;"'!i"&amp;C1&amp;"")</f>
        <v>0</v>
      </c>
      <c r="O36" s="24">
        <f ca="1">INDIRECT("'"&amp;O3&amp;"'!i"&amp;C1&amp;"")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INDIRECT("'"&amp;D3&amp;"'!i"&amp;C2&amp;"")</f>
        <v>0</v>
      </c>
      <c r="E37" s="24">
        <f ca="1">INDIRECT("'"&amp;E3&amp;"'!i"&amp;C2&amp;"")</f>
        <v>0</v>
      </c>
      <c r="F37" s="24">
        <f ca="1">INDIRECT("'"&amp;F3&amp;"'!i"&amp;C2&amp;"")</f>
        <v>0</v>
      </c>
      <c r="G37" s="24">
        <f ca="1">INDIRECT("'"&amp;G3&amp;"'!i"&amp;C2&amp;"")</f>
        <v>0</v>
      </c>
      <c r="H37" s="24">
        <f ca="1">INDIRECT("'"&amp;H3&amp;"'!i"&amp;C2&amp;"")</f>
        <v>0</v>
      </c>
      <c r="I37" s="24">
        <f ca="1">INDIRECT("'"&amp;I3&amp;"'!i"&amp;C2&amp;"")</f>
        <v>0</v>
      </c>
      <c r="J37" s="24">
        <f ca="1">INDIRECT("'"&amp;J3&amp;"'!i"&amp;C2&amp;"")</f>
        <v>0</v>
      </c>
      <c r="K37" s="24">
        <f ca="1">INDIRECT("'"&amp;K3&amp;"'!i"&amp;C2&amp;"")</f>
        <v>0</v>
      </c>
      <c r="L37" s="24">
        <f ca="1">INDIRECT("'"&amp;L3&amp;"'!i"&amp;C2&amp;"")</f>
        <v>0</v>
      </c>
      <c r="M37" s="24">
        <f ca="1">INDIRECT("'"&amp;M3&amp;"'!i"&amp;C2&amp;"")</f>
        <v>0</v>
      </c>
      <c r="N37" s="24">
        <f ca="1">INDIRECT("'"&amp;N3&amp;"'!i"&amp;C2&amp;"")</f>
        <v>0</v>
      </c>
      <c r="O37" s="24">
        <f ca="1">INDIRECT("'"&amp;O3&amp;"'!i"&amp;C2&amp;"")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INDIRECT("'"&amp;D3&amp;"'!ax"&amp;C1&amp;"")</f>
        <v>0</v>
      </c>
      <c r="E38" s="24">
        <f ca="1">INDIRECT("'"&amp;E3&amp;"'!ax"&amp;C1&amp;"")</f>
        <v>0</v>
      </c>
      <c r="F38" s="24">
        <f ca="1">INDIRECT("'"&amp;F3&amp;"'!ax"&amp;C1&amp;"")</f>
        <v>0</v>
      </c>
      <c r="G38" s="24">
        <f ca="1">INDIRECT("'"&amp;G3&amp;"'!ax"&amp;C1&amp;"")</f>
        <v>0</v>
      </c>
      <c r="H38" s="24">
        <f ca="1">INDIRECT("'"&amp;H3&amp;"'!ax"&amp;C1&amp;"")</f>
        <v>0</v>
      </c>
      <c r="I38" s="24">
        <f ca="1">INDIRECT("'"&amp;I3&amp;"'!ax"&amp;C1&amp;"")</f>
        <v>0</v>
      </c>
      <c r="J38" s="24">
        <f ca="1">INDIRECT("'"&amp;J3&amp;"'!ax"&amp;C1&amp;"")</f>
        <v>0</v>
      </c>
      <c r="K38" s="24">
        <f ca="1">INDIRECT("'"&amp;K3&amp;"'!ax"&amp;C1&amp;"")</f>
        <v>0</v>
      </c>
      <c r="L38" s="24">
        <f ca="1">INDIRECT("'"&amp;L3&amp;"'!ax"&amp;C1&amp;"")</f>
        <v>0</v>
      </c>
      <c r="M38" s="24">
        <f ca="1">INDIRECT("'"&amp;M3&amp;"'!ax"&amp;C1&amp;"")</f>
        <v>0</v>
      </c>
      <c r="N38" s="24">
        <f ca="1">INDIRECT("'"&amp;N3&amp;"'!ax"&amp;C1&amp;"")</f>
        <v>0</v>
      </c>
      <c r="O38" s="24">
        <f ca="1">INDIRECT("'"&amp;O3&amp;"'!ax"&amp;C1&amp;"")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INDIRECT("'"&amp;D3&amp;"'!ax"&amp;C2&amp;"")</f>
        <v>0</v>
      </c>
      <c r="E39" s="24">
        <f ca="1">INDIRECT("'"&amp;E3&amp;"'!ax"&amp;C2&amp;"")</f>
        <v>0</v>
      </c>
      <c r="F39" s="24">
        <f ca="1">INDIRECT("'"&amp;F3&amp;"'!ax"&amp;C2&amp;"")</f>
        <v>0</v>
      </c>
      <c r="G39" s="24">
        <f ca="1">INDIRECT("'"&amp;G3&amp;"'!ax"&amp;C2&amp;"")</f>
        <v>0</v>
      </c>
      <c r="H39" s="24">
        <f ca="1">INDIRECT("'"&amp;H3&amp;"'!ax"&amp;C2&amp;"")</f>
        <v>0</v>
      </c>
      <c r="I39" s="24">
        <f ca="1">INDIRECT("'"&amp;I3&amp;"'!ax"&amp;C2&amp;"")</f>
        <v>0</v>
      </c>
      <c r="J39" s="24">
        <f ca="1">INDIRECT("'"&amp;J3&amp;"'!ax"&amp;C2&amp;"")</f>
        <v>0</v>
      </c>
      <c r="K39" s="24">
        <f ca="1">INDIRECT("'"&amp;K3&amp;"'!ax"&amp;C2&amp;"")</f>
        <v>0</v>
      </c>
      <c r="L39" s="24">
        <f ca="1">INDIRECT("'"&amp;L3&amp;"'!ax"&amp;C2&amp;"")</f>
        <v>0</v>
      </c>
      <c r="M39" s="24">
        <f ca="1">INDIRECT("'"&amp;M3&amp;"'!ax"&amp;C2&amp;"")</f>
        <v>0</v>
      </c>
      <c r="N39" s="24">
        <f ca="1">INDIRECT("'"&amp;N3&amp;"'!ax"&amp;C2&amp;"")</f>
        <v>0</v>
      </c>
      <c r="O39" s="24">
        <f ca="1">INDIRECT("'"&amp;O3&amp;"'!ax"&amp;C2&amp;"")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INDIRECT("'"&amp;D3&amp;"'!bd"&amp;C1&amp;"")</f>
        <v>0</v>
      </c>
      <c r="E40" s="24">
        <f ca="1">INDIRECT("'"&amp;E3&amp;"'!bd"&amp;C1&amp;"")</f>
        <v>0</v>
      </c>
      <c r="F40" s="24">
        <f ca="1">INDIRECT("'"&amp;F3&amp;"'!bd"&amp;C1&amp;"")</f>
        <v>0</v>
      </c>
      <c r="G40" s="24">
        <f ca="1">INDIRECT("'"&amp;G3&amp;"'!bd"&amp;C1&amp;"")</f>
        <v>0</v>
      </c>
      <c r="H40" s="24">
        <f ca="1">INDIRECT("'"&amp;H3&amp;"'!bd"&amp;C1&amp;"")</f>
        <v>0</v>
      </c>
      <c r="I40" s="24">
        <f ca="1">INDIRECT("'"&amp;I3&amp;"'!bd"&amp;C1&amp;"")</f>
        <v>0</v>
      </c>
      <c r="J40" s="24">
        <f ca="1">INDIRECT("'"&amp;J3&amp;"'!bd"&amp;C1&amp;"")</f>
        <v>0</v>
      </c>
      <c r="K40" s="24">
        <f ca="1">INDIRECT("'"&amp;K3&amp;"'!bd"&amp;C1&amp;"")</f>
        <v>0</v>
      </c>
      <c r="L40" s="24">
        <f ca="1">INDIRECT("'"&amp;L3&amp;"'!bd"&amp;C1&amp;"")</f>
        <v>0</v>
      </c>
      <c r="M40" s="24">
        <f ca="1">INDIRECT("'"&amp;M3&amp;"'!bd"&amp;C1&amp;"")</f>
        <v>0</v>
      </c>
      <c r="N40" s="24">
        <f ca="1">INDIRECT("'"&amp;N3&amp;"'!bd"&amp;C1&amp;"")</f>
        <v>0</v>
      </c>
      <c r="O40" s="24">
        <f ca="1">INDIRECT("'"&amp;O3&amp;"'!bd"&amp;C1&amp;"")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INDIRECT("'"&amp;D3&amp;"'!bd"&amp;C2&amp;"")</f>
        <v>0</v>
      </c>
      <c r="E41" s="24">
        <f ca="1">INDIRECT("'"&amp;E3&amp;"'!bd"&amp;C2&amp;"")</f>
        <v>0</v>
      </c>
      <c r="F41" s="24">
        <f ca="1">INDIRECT("'"&amp;F3&amp;"'!bd"&amp;C2&amp;"")</f>
        <v>0</v>
      </c>
      <c r="G41" s="24">
        <f ca="1">INDIRECT("'"&amp;G3&amp;"'!bd"&amp;C2&amp;"")</f>
        <v>0</v>
      </c>
      <c r="H41" s="24">
        <f ca="1">INDIRECT("'"&amp;H3&amp;"'!bd"&amp;C2&amp;"")</f>
        <v>0</v>
      </c>
      <c r="I41" s="24">
        <f ca="1">INDIRECT("'"&amp;I3&amp;"'!bd"&amp;C2&amp;"")</f>
        <v>0</v>
      </c>
      <c r="J41" s="24">
        <f ca="1">INDIRECT("'"&amp;J3&amp;"'!bd"&amp;C2&amp;"")</f>
        <v>0</v>
      </c>
      <c r="K41" s="24">
        <f ca="1">INDIRECT("'"&amp;K3&amp;"'!bd"&amp;C2&amp;"")</f>
        <v>0</v>
      </c>
      <c r="L41" s="24">
        <f ca="1">INDIRECT("'"&amp;L3&amp;"'!bd"&amp;C2&amp;"")</f>
        <v>0</v>
      </c>
      <c r="M41" s="24">
        <f ca="1">INDIRECT("'"&amp;M3&amp;"'!bd"&amp;C2&amp;"")</f>
        <v>0</v>
      </c>
      <c r="N41" s="24">
        <f ca="1">INDIRECT("'"&amp;N3&amp;"'!bd"&amp;C2&amp;"")</f>
        <v>0</v>
      </c>
      <c r="O41" s="24">
        <f ca="1">INDIRECT("'"&amp;O3&amp;"'!bd"&amp;C2&amp;"")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INDIRECT("'"&amp;D3&amp;"'!bg"&amp;C1&amp;"")</f>
        <v>0</v>
      </c>
      <c r="E42" s="24">
        <f ca="1">INDIRECT("'"&amp;E3&amp;"'!bg"&amp;C1&amp;"")</f>
        <v>0</v>
      </c>
      <c r="F42" s="24">
        <f ca="1">INDIRECT("'"&amp;F3&amp;"'!bg"&amp;C1&amp;"")</f>
        <v>0</v>
      </c>
      <c r="G42" s="24">
        <f ca="1">INDIRECT("'"&amp;G3&amp;"'!bg"&amp;C1&amp;"")</f>
        <v>0</v>
      </c>
      <c r="H42" s="24">
        <f ca="1">INDIRECT("'"&amp;H3&amp;"'!bg"&amp;C1&amp;"")</f>
        <v>0</v>
      </c>
      <c r="I42" s="24">
        <f ca="1">INDIRECT("'"&amp;I3&amp;"'!bg"&amp;C1&amp;"")</f>
        <v>0</v>
      </c>
      <c r="J42" s="24">
        <f ca="1">INDIRECT("'"&amp;J3&amp;"'!bg"&amp;C1&amp;"")</f>
        <v>0</v>
      </c>
      <c r="K42" s="24">
        <f ca="1">INDIRECT("'"&amp;K3&amp;"'!bg"&amp;C1&amp;"")</f>
        <v>0</v>
      </c>
      <c r="L42" s="24">
        <f ca="1">INDIRECT("'"&amp;L3&amp;"'!bg"&amp;C1&amp;"")</f>
        <v>0</v>
      </c>
      <c r="M42" s="24">
        <f ca="1">INDIRECT("'"&amp;M3&amp;"'!bg"&amp;C1&amp;"")</f>
        <v>0</v>
      </c>
      <c r="N42" s="24">
        <f ca="1">INDIRECT("'"&amp;N3&amp;"'!bg"&amp;C1&amp;"")</f>
        <v>0</v>
      </c>
      <c r="O42" s="24">
        <f ca="1">INDIRECT("'"&amp;O3&amp;"'!bg"&amp;C1&amp;"")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INDIRECT("'"&amp;D3&amp;"'!bg"&amp;C2&amp;"")</f>
        <v>0</v>
      </c>
      <c r="E43" s="24">
        <f ca="1">INDIRECT("'"&amp;E3&amp;"'!bg"&amp;C2&amp;"")</f>
        <v>0</v>
      </c>
      <c r="F43" s="24">
        <f ca="1">INDIRECT("'"&amp;F3&amp;"'!bg"&amp;C2&amp;"")</f>
        <v>0</v>
      </c>
      <c r="G43" s="24">
        <f ca="1">INDIRECT("'"&amp;G3&amp;"'!bg"&amp;C2&amp;"")</f>
        <v>0</v>
      </c>
      <c r="H43" s="24">
        <f ca="1">INDIRECT("'"&amp;H3&amp;"'!bg"&amp;C2&amp;"")</f>
        <v>0</v>
      </c>
      <c r="I43" s="24">
        <f ca="1">INDIRECT("'"&amp;I3&amp;"'!bg"&amp;C2&amp;"")</f>
        <v>0</v>
      </c>
      <c r="J43" s="24">
        <f ca="1">INDIRECT("'"&amp;J3&amp;"'!bg"&amp;C2&amp;"")</f>
        <v>0</v>
      </c>
      <c r="K43" s="24">
        <f ca="1">INDIRECT("'"&amp;K3&amp;"'!bg"&amp;C2&amp;"")</f>
        <v>0</v>
      </c>
      <c r="L43" s="24">
        <f ca="1">INDIRECT("'"&amp;L3&amp;"'!bg"&amp;C2&amp;"")</f>
        <v>0</v>
      </c>
      <c r="M43" s="24">
        <f ca="1">INDIRECT("'"&amp;M3&amp;"'!bg"&amp;C2&amp;"")</f>
        <v>0</v>
      </c>
      <c r="N43" s="24">
        <f ca="1">INDIRECT("'"&amp;N3&amp;"'!bg"&amp;C2&amp;"")</f>
        <v>0</v>
      </c>
      <c r="O43" s="24">
        <f ca="1">INDIRECT("'"&amp;O3&amp;"'!bg"&amp;C2&amp;"")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INDIRECT("'"&amp;D3&amp;"'!bj"&amp;C1&amp;"")</f>
        <v>0</v>
      </c>
      <c r="E44" s="24">
        <f ca="1">INDIRECT("'"&amp;E3&amp;"'!bj"&amp;C1&amp;"")</f>
        <v>0</v>
      </c>
      <c r="F44" s="24">
        <f ca="1">INDIRECT("'"&amp;F3&amp;"'!bj"&amp;C1&amp;"")</f>
        <v>0</v>
      </c>
      <c r="G44" s="24">
        <f ca="1">INDIRECT("'"&amp;G3&amp;"'!bj"&amp;C1&amp;"")</f>
        <v>0</v>
      </c>
      <c r="H44" s="24">
        <f ca="1">INDIRECT("'"&amp;H3&amp;"'!bj"&amp;C1&amp;"")</f>
        <v>0</v>
      </c>
      <c r="I44" s="24">
        <f ca="1">INDIRECT("'"&amp;I3&amp;"'!bj"&amp;C1&amp;"")</f>
        <v>0</v>
      </c>
      <c r="J44" s="24">
        <f ca="1">INDIRECT("'"&amp;J3&amp;"'!bj"&amp;C1&amp;"")</f>
        <v>0</v>
      </c>
      <c r="K44" s="24">
        <f ca="1">INDIRECT("'"&amp;K3&amp;"'!bj"&amp;C1&amp;"")</f>
        <v>0</v>
      </c>
      <c r="L44" s="24">
        <f ca="1">INDIRECT("'"&amp;L3&amp;"'!bj"&amp;C1&amp;"")</f>
        <v>0</v>
      </c>
      <c r="M44" s="24">
        <f ca="1">INDIRECT("'"&amp;M3&amp;"'!bj"&amp;C1&amp;"")</f>
        <v>0</v>
      </c>
      <c r="N44" s="24">
        <f ca="1">INDIRECT("'"&amp;N3&amp;"'!bj"&amp;C1&amp;"")</f>
        <v>0</v>
      </c>
      <c r="O44" s="24">
        <f ca="1">INDIRECT("'"&amp;O3&amp;"'!bj"&amp;C1&amp;"")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INDIRECT("'"&amp;D3&amp;"'!bj"&amp;C2&amp;"")</f>
        <v>0</v>
      </c>
      <c r="E45" s="24">
        <f ca="1">INDIRECT("'"&amp;E3&amp;"'!bj"&amp;C2&amp;"")</f>
        <v>0</v>
      </c>
      <c r="F45" s="24">
        <f ca="1">INDIRECT("'"&amp;F3&amp;"'!bj"&amp;C2&amp;"")</f>
        <v>0</v>
      </c>
      <c r="G45" s="24">
        <f ca="1">INDIRECT("'"&amp;G3&amp;"'!bj"&amp;C2&amp;"")</f>
        <v>0</v>
      </c>
      <c r="H45" s="24">
        <f ca="1">INDIRECT("'"&amp;H3&amp;"'!bj"&amp;C2&amp;"")</f>
        <v>0</v>
      </c>
      <c r="I45" s="24">
        <f ca="1">INDIRECT("'"&amp;I3&amp;"'!bj"&amp;C2&amp;"")</f>
        <v>0</v>
      </c>
      <c r="J45" s="24">
        <f ca="1">INDIRECT("'"&amp;J3&amp;"'!bj"&amp;C2&amp;"")</f>
        <v>0</v>
      </c>
      <c r="K45" s="24">
        <f ca="1">INDIRECT("'"&amp;K3&amp;"'!bj"&amp;C2&amp;"")</f>
        <v>0</v>
      </c>
      <c r="L45" s="24">
        <f ca="1">INDIRECT("'"&amp;L3&amp;"'!bj"&amp;C2&amp;"")</f>
        <v>0</v>
      </c>
      <c r="M45" s="24">
        <f ca="1">INDIRECT("'"&amp;M3&amp;"'!bj"&amp;C2&amp;"")</f>
        <v>0</v>
      </c>
      <c r="N45" s="24">
        <f ca="1">INDIRECT("'"&amp;N3&amp;"'!bj"&amp;C2&amp;"")</f>
        <v>0</v>
      </c>
      <c r="O45" s="24">
        <f ca="1">INDIRECT("'"&amp;O3&amp;"'!bj"&amp;C2&amp;"")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INDIRECT("'"&amp;D3&amp;"'!bo"&amp;C1&amp;"")</f>
        <v>0</v>
      </c>
      <c r="E46" s="24">
        <f ca="1">INDIRECT("'"&amp;E3&amp;"'!bo"&amp;C1&amp;"")</f>
        <v>0</v>
      </c>
      <c r="F46" s="24">
        <f ca="1">INDIRECT("'"&amp;F3&amp;"'!bo"&amp;C1&amp;"")</f>
        <v>0</v>
      </c>
      <c r="G46" s="24">
        <f ca="1">INDIRECT("'"&amp;G3&amp;"'!bo"&amp;C1&amp;"")</f>
        <v>0</v>
      </c>
      <c r="H46" s="24">
        <f ca="1">INDIRECT("'"&amp;H3&amp;"'!bo"&amp;C1&amp;"")</f>
        <v>0</v>
      </c>
      <c r="I46" s="24">
        <f ca="1">INDIRECT("'"&amp;I3&amp;"'!bo"&amp;C1&amp;"")</f>
        <v>0</v>
      </c>
      <c r="J46" s="24">
        <f ca="1">INDIRECT("'"&amp;J3&amp;"'!bo"&amp;C1&amp;"")</f>
        <v>0</v>
      </c>
      <c r="K46" s="24">
        <f ca="1">INDIRECT("'"&amp;K3&amp;"'!bo"&amp;C1&amp;"")</f>
        <v>0</v>
      </c>
      <c r="L46" s="24">
        <f ca="1">INDIRECT("'"&amp;L3&amp;"'!bo"&amp;C1&amp;"")</f>
        <v>0</v>
      </c>
      <c r="M46" s="24">
        <f ca="1">INDIRECT("'"&amp;M3&amp;"'!bo"&amp;C1&amp;"")</f>
        <v>0</v>
      </c>
      <c r="N46" s="24">
        <f ca="1">INDIRECT("'"&amp;N3&amp;"'!bo"&amp;C1&amp;"")</f>
        <v>0</v>
      </c>
      <c r="O46" s="24">
        <f ca="1">INDIRECT("'"&amp;O3&amp;"'!bo"&amp;C1&amp;"")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INDIRECT("'"&amp;D3&amp;"'!bo"&amp;C2&amp;"")</f>
        <v>0</v>
      </c>
      <c r="E47" s="24">
        <f ca="1">INDIRECT("'"&amp;E3&amp;"'!bo"&amp;C2&amp;"")</f>
        <v>0</v>
      </c>
      <c r="F47" s="24">
        <f ca="1">INDIRECT("'"&amp;F3&amp;"'!bo"&amp;C2&amp;"")</f>
        <v>0</v>
      </c>
      <c r="G47" s="24">
        <f ca="1">INDIRECT("'"&amp;G3&amp;"'!bo"&amp;C2&amp;"")</f>
        <v>0</v>
      </c>
      <c r="H47" s="24">
        <f ca="1">INDIRECT("'"&amp;H3&amp;"'!bo"&amp;C2&amp;"")</f>
        <v>0</v>
      </c>
      <c r="I47" s="24">
        <f ca="1">INDIRECT("'"&amp;I3&amp;"'!bo"&amp;C2&amp;"")</f>
        <v>0</v>
      </c>
      <c r="J47" s="24">
        <f ca="1">INDIRECT("'"&amp;J3&amp;"'!bo"&amp;C2&amp;"")</f>
        <v>0</v>
      </c>
      <c r="K47" s="24">
        <f ca="1">INDIRECT("'"&amp;K3&amp;"'!bo"&amp;C2&amp;"")</f>
        <v>0</v>
      </c>
      <c r="L47" s="24">
        <f ca="1">INDIRECT("'"&amp;L3&amp;"'!bo"&amp;C2&amp;"")</f>
        <v>0</v>
      </c>
      <c r="M47" s="24">
        <f ca="1">INDIRECT("'"&amp;M3&amp;"'!bo"&amp;C2&amp;"")</f>
        <v>0</v>
      </c>
      <c r="N47" s="24">
        <f ca="1">INDIRECT("'"&amp;N3&amp;"'!bo"&amp;C2&amp;"")</f>
        <v>0</v>
      </c>
      <c r="O47" s="24">
        <f ca="1">INDIRECT("'"&amp;O3&amp;"'!bo"&amp;C2&amp;"")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INDIRECT("'"&amp;D3&amp;"'!ba"&amp;C1&amp;"")</f>
        <v>0</v>
      </c>
      <c r="E48" s="24">
        <f ca="1">INDIRECT("'"&amp;E3&amp;"'!ba"&amp;C1&amp;"")</f>
        <v>0</v>
      </c>
      <c r="F48" s="24">
        <f ca="1">INDIRECT("'"&amp;F3&amp;"'!ba"&amp;C1&amp;"")</f>
        <v>0</v>
      </c>
      <c r="G48" s="24">
        <f ca="1">INDIRECT("'"&amp;G3&amp;"'!ba"&amp;C1&amp;"")</f>
        <v>0</v>
      </c>
      <c r="H48" s="24">
        <f ca="1">INDIRECT("'"&amp;H3&amp;"'!ba"&amp;C1&amp;"")</f>
        <v>0</v>
      </c>
      <c r="I48" s="24">
        <f ca="1">INDIRECT("'"&amp;I3&amp;"'!ba"&amp;C1&amp;"")</f>
        <v>0</v>
      </c>
      <c r="J48" s="24">
        <f ca="1">INDIRECT("'"&amp;J3&amp;"'!ba"&amp;C1&amp;"")</f>
        <v>0</v>
      </c>
      <c r="K48" s="24">
        <f ca="1">INDIRECT("'"&amp;K3&amp;"'!ba"&amp;C1&amp;"")</f>
        <v>0</v>
      </c>
      <c r="L48" s="24">
        <f ca="1">INDIRECT("'"&amp;L3&amp;"'!ba"&amp;C1&amp;"")</f>
        <v>0</v>
      </c>
      <c r="M48" s="24">
        <f ca="1">INDIRECT("'"&amp;M3&amp;"'!ba"&amp;C1&amp;"")</f>
        <v>0</v>
      </c>
      <c r="N48" s="24">
        <f ca="1">INDIRECT("'"&amp;N3&amp;"'!ba"&amp;C1&amp;"")</f>
        <v>0</v>
      </c>
      <c r="O48" s="24">
        <f ca="1">INDIRECT("'"&amp;O3&amp;"'!ba"&amp;C1&amp;"")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INDIRECT("'"&amp;D3&amp;"'!ba"&amp;C2&amp;"")</f>
        <v>0</v>
      </c>
      <c r="E49" s="24">
        <f ca="1">INDIRECT("'"&amp;E3&amp;"'!ba"&amp;C2&amp;"")</f>
        <v>0</v>
      </c>
      <c r="F49" s="24">
        <f ca="1">INDIRECT("'"&amp;F3&amp;"'!ba"&amp;C2&amp;"")</f>
        <v>0</v>
      </c>
      <c r="G49" s="24">
        <f ca="1">INDIRECT("'"&amp;G3&amp;"'!ba"&amp;C2&amp;"")</f>
        <v>0</v>
      </c>
      <c r="H49" s="24">
        <f ca="1">INDIRECT("'"&amp;H3&amp;"'!ba"&amp;C2&amp;"")</f>
        <v>0</v>
      </c>
      <c r="I49" s="24">
        <f ca="1">INDIRECT("'"&amp;I3&amp;"'!ba"&amp;C2&amp;"")</f>
        <v>0</v>
      </c>
      <c r="J49" s="24">
        <f ca="1">INDIRECT("'"&amp;J3&amp;"'!ba"&amp;C2&amp;"")</f>
        <v>0</v>
      </c>
      <c r="K49" s="24">
        <f ca="1">INDIRECT("'"&amp;K3&amp;"'!ba"&amp;C2&amp;"")</f>
        <v>0</v>
      </c>
      <c r="L49" s="24">
        <f ca="1">INDIRECT("'"&amp;L3&amp;"'!ba"&amp;C2&amp;"")</f>
        <v>0</v>
      </c>
      <c r="M49" s="24">
        <f ca="1">INDIRECT("'"&amp;M3&amp;"'!ba"&amp;C2&amp;"")</f>
        <v>0</v>
      </c>
      <c r="N49" s="24">
        <f ca="1">INDIRECT("'"&amp;N3&amp;"'!ba"&amp;C2&amp;"")</f>
        <v>0</v>
      </c>
      <c r="O49" s="24">
        <f ca="1">INDIRECT("'"&amp;O3&amp;"'!ba"&amp;C2&amp;"")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INDIRECT("'"&amp;D3&amp;"'!an"&amp;C1&amp;"")</f>
        <v>0</v>
      </c>
      <c r="E50" s="24">
        <f ca="1">INDIRECT("'"&amp;E3&amp;"'!an"&amp;C1&amp;"")</f>
        <v>0</v>
      </c>
      <c r="F50" s="24">
        <f ca="1">INDIRECT("'"&amp;F3&amp;"'!an"&amp;C1&amp;"")</f>
        <v>0</v>
      </c>
      <c r="G50" s="24">
        <f ca="1">INDIRECT("'"&amp;G3&amp;"'!an"&amp;C1&amp;"")</f>
        <v>0</v>
      </c>
      <c r="H50" s="24">
        <f ca="1">INDIRECT("'"&amp;H3&amp;"'!an"&amp;C1&amp;"")</f>
        <v>0</v>
      </c>
      <c r="I50" s="24">
        <f ca="1">INDIRECT("'"&amp;I3&amp;"'!an"&amp;C1&amp;"")</f>
        <v>0</v>
      </c>
      <c r="J50" s="24">
        <f ca="1">INDIRECT("'"&amp;J3&amp;"'!an"&amp;C1&amp;"")</f>
        <v>0</v>
      </c>
      <c r="K50" s="24">
        <f ca="1">INDIRECT("'"&amp;K3&amp;"'!an"&amp;C1&amp;"")</f>
        <v>0</v>
      </c>
      <c r="L50" s="24">
        <f ca="1">INDIRECT("'"&amp;L3&amp;"'!an"&amp;C1&amp;"")</f>
        <v>0</v>
      </c>
      <c r="M50" s="24">
        <f ca="1">INDIRECT("'"&amp;M3&amp;"'!an"&amp;C1&amp;"")</f>
        <v>0</v>
      </c>
      <c r="N50" s="24">
        <f ca="1">INDIRECT("'"&amp;N3&amp;"'!an"&amp;C1&amp;"")</f>
        <v>0</v>
      </c>
      <c r="O50" s="24">
        <f ca="1">INDIRECT("'"&amp;O3&amp;"'!an"&amp;C1&amp;"")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INDIRECT("'"&amp;D3&amp;"'!an"&amp;C2&amp;"")</f>
        <v>0</v>
      </c>
      <c r="E51" s="24">
        <f ca="1">INDIRECT("'"&amp;E3&amp;"'!an"&amp;C2&amp;"")</f>
        <v>0</v>
      </c>
      <c r="F51" s="24">
        <f ca="1">INDIRECT("'"&amp;F3&amp;"'!an"&amp;C2&amp;"")</f>
        <v>0</v>
      </c>
      <c r="G51" s="24">
        <f ca="1">INDIRECT("'"&amp;G3&amp;"'!an"&amp;C2&amp;"")</f>
        <v>0</v>
      </c>
      <c r="H51" s="24">
        <f ca="1">INDIRECT("'"&amp;H3&amp;"'!an"&amp;C2&amp;"")</f>
        <v>0</v>
      </c>
      <c r="I51" s="24">
        <f ca="1">INDIRECT("'"&amp;I3&amp;"'!an"&amp;C2&amp;"")</f>
        <v>0</v>
      </c>
      <c r="J51" s="24">
        <f ca="1">INDIRECT("'"&amp;J3&amp;"'!an"&amp;C2&amp;"")</f>
        <v>0</v>
      </c>
      <c r="K51" s="24">
        <f ca="1">INDIRECT("'"&amp;K3&amp;"'!an"&amp;C2&amp;"")</f>
        <v>0</v>
      </c>
      <c r="L51" s="24">
        <f ca="1">INDIRECT("'"&amp;L3&amp;"'!an"&amp;C2&amp;"")</f>
        <v>0</v>
      </c>
      <c r="M51" s="24">
        <f ca="1">INDIRECT("'"&amp;M3&amp;"'!an"&amp;C2&amp;"")</f>
        <v>0</v>
      </c>
      <c r="N51" s="24">
        <f ca="1">INDIRECT("'"&amp;N3&amp;"'!an"&amp;C2&amp;"")</f>
        <v>0</v>
      </c>
      <c r="O51" s="24">
        <f ca="1">INDIRECT("'"&amp;O3&amp;"'!an"&amp;C2&amp;"")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INDIRECT("'"&amp;D3&amp;"'!as"&amp;C1&amp;"")</f>
        <v>0</v>
      </c>
      <c r="E52" s="24">
        <f ca="1">INDIRECT("'"&amp;E3&amp;"'!as"&amp;C1&amp;"")</f>
        <v>0</v>
      </c>
      <c r="F52" s="24">
        <f ca="1">INDIRECT("'"&amp;F3&amp;"'!as"&amp;C1&amp;"")</f>
        <v>0</v>
      </c>
      <c r="G52" s="24">
        <f ca="1">INDIRECT("'"&amp;G3&amp;"'!as"&amp;C1&amp;"")</f>
        <v>0</v>
      </c>
      <c r="H52" s="24">
        <f ca="1">INDIRECT("'"&amp;H3&amp;"'!as"&amp;C1&amp;"")</f>
        <v>0</v>
      </c>
      <c r="I52" s="24">
        <f ca="1">INDIRECT("'"&amp;I3&amp;"'!as"&amp;C1&amp;"")</f>
        <v>0</v>
      </c>
      <c r="J52" s="24">
        <f ca="1">INDIRECT("'"&amp;J3&amp;"'!as"&amp;C1&amp;"")</f>
        <v>0</v>
      </c>
      <c r="K52" s="24">
        <f ca="1">INDIRECT("'"&amp;K3&amp;"'!as"&amp;C1&amp;"")</f>
        <v>0</v>
      </c>
      <c r="L52" s="24">
        <f ca="1">INDIRECT("'"&amp;L3&amp;"'!as"&amp;C1&amp;"")</f>
        <v>0</v>
      </c>
      <c r="M52" s="24">
        <f ca="1">INDIRECT("'"&amp;M3&amp;"'!as"&amp;C1&amp;"")</f>
        <v>0</v>
      </c>
      <c r="N52" s="24">
        <f ca="1">INDIRECT("'"&amp;N3&amp;"'!as"&amp;C1&amp;"")</f>
        <v>0</v>
      </c>
      <c r="O52" s="24">
        <f ca="1">INDIRECT("'"&amp;O3&amp;"'!as"&amp;C1&amp;"")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INDIRECT("'"&amp;D3&amp;"'!as"&amp;C2&amp;"")</f>
        <v>0</v>
      </c>
      <c r="E53" s="24">
        <f ca="1">INDIRECT("'"&amp;E3&amp;"'!as"&amp;C2&amp;"")</f>
        <v>0</v>
      </c>
      <c r="F53" s="24">
        <f ca="1">INDIRECT("'"&amp;F3&amp;"'!as"&amp;C2&amp;"")</f>
        <v>0</v>
      </c>
      <c r="G53" s="24">
        <f ca="1">INDIRECT("'"&amp;G3&amp;"'!as"&amp;C2&amp;"")</f>
        <v>0</v>
      </c>
      <c r="H53" s="24">
        <f ca="1">INDIRECT("'"&amp;H3&amp;"'!as"&amp;C2&amp;"")</f>
        <v>0</v>
      </c>
      <c r="I53" s="24">
        <f ca="1">INDIRECT("'"&amp;I3&amp;"'!as"&amp;C2&amp;"")</f>
        <v>0</v>
      </c>
      <c r="J53" s="24">
        <f ca="1">INDIRECT("'"&amp;J3&amp;"'!as"&amp;C2&amp;"")</f>
        <v>0</v>
      </c>
      <c r="K53" s="24">
        <f ca="1">INDIRECT("'"&amp;K3&amp;"'!as"&amp;C2&amp;"")</f>
        <v>0</v>
      </c>
      <c r="L53" s="24">
        <f ca="1">INDIRECT("'"&amp;L3&amp;"'!as"&amp;C2&amp;"")</f>
        <v>0</v>
      </c>
      <c r="M53" s="24">
        <f ca="1">INDIRECT("'"&amp;M3&amp;"'!as"&amp;C2&amp;"")</f>
        <v>0</v>
      </c>
      <c r="N53" s="24">
        <f ca="1">INDIRECT("'"&amp;N3&amp;"'!as"&amp;C2&amp;"")</f>
        <v>0</v>
      </c>
      <c r="O53" s="24">
        <f ca="1">INDIRECT("'"&amp;O3&amp;"'!as"&amp;C2&amp;"")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INDIRECT("'"&amp;D3&amp;"'!al"&amp;C1&amp;"")</f>
        <v>0</v>
      </c>
      <c r="E54" s="24">
        <f ca="1">INDIRECT("'"&amp;E3&amp;"'!al"&amp;C1&amp;"")</f>
        <v>0</v>
      </c>
      <c r="F54" s="24">
        <f ca="1">INDIRECT("'"&amp;F3&amp;"'!al"&amp;C1&amp;"")</f>
        <v>0</v>
      </c>
      <c r="G54" s="24">
        <f ca="1">INDIRECT("'"&amp;G3&amp;"'!al"&amp;C1&amp;"")</f>
        <v>0</v>
      </c>
      <c r="H54" s="24">
        <f ca="1">INDIRECT("'"&amp;H3&amp;"'!al"&amp;C1&amp;"")</f>
        <v>0</v>
      </c>
      <c r="I54" s="24">
        <f ca="1">INDIRECT("'"&amp;I3&amp;"'!al"&amp;C1&amp;"")</f>
        <v>0</v>
      </c>
      <c r="J54" s="24">
        <f ca="1">INDIRECT("'"&amp;J3&amp;"'!al"&amp;C1&amp;"")</f>
        <v>0</v>
      </c>
      <c r="K54" s="24">
        <f ca="1">INDIRECT("'"&amp;K3&amp;"'!al"&amp;C1&amp;"")</f>
        <v>0</v>
      </c>
      <c r="L54" s="24">
        <f ca="1">INDIRECT("'"&amp;L3&amp;"'!al"&amp;C1&amp;"")</f>
        <v>0</v>
      </c>
      <c r="M54" s="24">
        <f ca="1">INDIRECT("'"&amp;M3&amp;"'!al"&amp;C1&amp;"")</f>
        <v>0</v>
      </c>
      <c r="N54" s="24">
        <f ca="1">INDIRECT("'"&amp;N3&amp;"'!al"&amp;C1&amp;"")</f>
        <v>0</v>
      </c>
      <c r="O54" s="24">
        <f ca="1">INDIRECT("'"&amp;O3&amp;"'!al"&amp;C1&amp;"")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INDIRECT("'"&amp;D3&amp;"'!al"&amp;C2&amp;"")</f>
        <v>0</v>
      </c>
      <c r="E55" s="24">
        <f ca="1">INDIRECT("'"&amp;E3&amp;"'!al"&amp;C2&amp;"")</f>
        <v>0</v>
      </c>
      <c r="F55" s="24">
        <f ca="1">INDIRECT("'"&amp;F3&amp;"'!al"&amp;C2&amp;"")</f>
        <v>0</v>
      </c>
      <c r="G55" s="24">
        <f ca="1">INDIRECT("'"&amp;G3&amp;"'!al"&amp;C2&amp;"")</f>
        <v>0</v>
      </c>
      <c r="H55" s="24">
        <f ca="1">INDIRECT("'"&amp;H3&amp;"'!al"&amp;C2&amp;"")</f>
        <v>0</v>
      </c>
      <c r="I55" s="24">
        <f ca="1">INDIRECT("'"&amp;I3&amp;"'!al"&amp;C2&amp;"")</f>
        <v>0</v>
      </c>
      <c r="J55" s="24">
        <f ca="1">INDIRECT("'"&amp;J3&amp;"'!al"&amp;C2&amp;"")</f>
        <v>0</v>
      </c>
      <c r="K55" s="24">
        <f ca="1">INDIRECT("'"&amp;K3&amp;"'!al"&amp;C2&amp;"")</f>
        <v>0</v>
      </c>
      <c r="L55" s="24">
        <f ca="1">INDIRECT("'"&amp;L3&amp;"'!al"&amp;C2&amp;"")</f>
        <v>0</v>
      </c>
      <c r="M55" s="24">
        <f ca="1">INDIRECT("'"&amp;M3&amp;"'!al"&amp;C2&amp;"")</f>
        <v>0</v>
      </c>
      <c r="N55" s="24">
        <f ca="1">INDIRECT("'"&amp;N3&amp;"'!al"&amp;C2&amp;"")</f>
        <v>0</v>
      </c>
      <c r="O55" s="24">
        <f ca="1">INDIRECT("'"&amp;O3&amp;"'!al"&amp;C2&amp;"")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INDIRECT("'"&amp;D3&amp;"'!q"&amp;C1&amp;"")</f>
        <v>0</v>
      </c>
      <c r="E56" s="2">
        <f ca="1">INDIRECT("'"&amp;E3&amp;"'!q"&amp;C1&amp;"")</f>
        <v>0</v>
      </c>
      <c r="F56" s="2">
        <f ca="1">INDIRECT("'"&amp;F3&amp;"'!q"&amp;C1&amp;"")</f>
        <v>0</v>
      </c>
      <c r="G56" s="2">
        <f ca="1">INDIRECT("'"&amp;G3&amp;"'!q"&amp;C1&amp;"")</f>
        <v>0</v>
      </c>
      <c r="H56" s="2">
        <f ca="1">INDIRECT("'"&amp;H3&amp;"'!q"&amp;C1&amp;"")</f>
        <v>0</v>
      </c>
      <c r="I56" s="2">
        <f ca="1">INDIRECT("'"&amp;I3&amp;"'!q"&amp;C1&amp;"")</f>
        <v>0</v>
      </c>
      <c r="J56" s="2">
        <f ca="1">INDIRECT("'"&amp;J3&amp;"'!q"&amp;C1&amp;"")</f>
        <v>0</v>
      </c>
      <c r="K56" s="2">
        <f ca="1">INDIRECT("'"&amp;K3&amp;"'!q"&amp;C1&amp;"")</f>
        <v>0</v>
      </c>
      <c r="L56" s="2">
        <f ca="1">INDIRECT("'"&amp;L3&amp;"'!q"&amp;C1&amp;"")</f>
        <v>0</v>
      </c>
      <c r="M56" s="2">
        <f ca="1">INDIRECT("'"&amp;M3&amp;"'!q"&amp;C1&amp;"")</f>
        <v>0</v>
      </c>
      <c r="N56" s="2">
        <f ca="1">INDIRECT("'"&amp;N3&amp;"'!q"&amp;C1&amp;"")</f>
        <v>0</v>
      </c>
      <c r="O56" s="2">
        <f ca="1">INDIRECT("'"&amp;O3&amp;"'!q"&amp;C1&amp;"")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INDIRECT("'"&amp;D3&amp;"'!q"&amp;C2&amp;"")</f>
        <v>0</v>
      </c>
      <c r="E57" s="2">
        <f ca="1">INDIRECT("'"&amp;E3&amp;"'!q"&amp;C2&amp;"")</f>
        <v>0</v>
      </c>
      <c r="F57" s="2">
        <f ca="1">INDIRECT("'"&amp;F3&amp;"'!q"&amp;C2&amp;"")</f>
        <v>0</v>
      </c>
      <c r="G57" s="2">
        <f ca="1">INDIRECT("'"&amp;G3&amp;"'!q"&amp;C2&amp;"")</f>
        <v>0</v>
      </c>
      <c r="H57" s="2">
        <f ca="1">INDIRECT("'"&amp;H3&amp;"'!q"&amp;C2&amp;"")</f>
        <v>0</v>
      </c>
      <c r="I57" s="2">
        <f ca="1">INDIRECT("'"&amp;I3&amp;"'!q"&amp;C2&amp;"")</f>
        <v>0</v>
      </c>
      <c r="J57" s="2">
        <f ca="1">INDIRECT("'"&amp;J3&amp;"'!q"&amp;C2&amp;"")</f>
        <v>0</v>
      </c>
      <c r="K57" s="2">
        <f ca="1">INDIRECT("'"&amp;K3&amp;"'!q"&amp;C2&amp;"")</f>
        <v>0</v>
      </c>
      <c r="L57" s="2">
        <f ca="1">INDIRECT("'"&amp;L3&amp;"'!q"&amp;C2&amp;"")</f>
        <v>0</v>
      </c>
      <c r="M57" s="2">
        <f ca="1">INDIRECT("'"&amp;M3&amp;"'!q"&amp;C2&amp;"")</f>
        <v>0</v>
      </c>
      <c r="N57" s="2">
        <f ca="1">INDIRECT("'"&amp;N3&amp;"'!q"&amp;C2&amp;"")</f>
        <v>0</v>
      </c>
      <c r="O57" s="2">
        <f ca="1">INDIRECT("'"&amp;O3&amp;"'!q"&amp;C2&amp;"")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INDIRECT("'"&amp;D3&amp;"'!dx"&amp;C1&amp;"")</f>
        <v>0</v>
      </c>
      <c r="E58" s="2">
        <f ca="1">INDIRECT("'"&amp;E3&amp;"'!dx"&amp;C1&amp;"")</f>
        <v>0</v>
      </c>
      <c r="F58" s="2">
        <f ca="1">INDIRECT("'"&amp;F3&amp;"'!dx"&amp;C1&amp;"")</f>
        <v>0</v>
      </c>
      <c r="G58" s="2">
        <f ca="1">INDIRECT("'"&amp;G3&amp;"'!dx"&amp;C1&amp;"")</f>
        <v>0</v>
      </c>
      <c r="H58" s="2">
        <f ca="1">INDIRECT("'"&amp;H3&amp;"'!dx"&amp;C1&amp;"")</f>
        <v>0</v>
      </c>
      <c r="I58" s="2">
        <f ca="1">INDIRECT("'"&amp;I3&amp;"'!dx"&amp;C1&amp;"")</f>
        <v>0</v>
      </c>
      <c r="J58" s="2">
        <f ca="1">INDIRECT("'"&amp;J3&amp;"'!dx"&amp;C1&amp;"")</f>
        <v>0</v>
      </c>
      <c r="K58" s="2">
        <f ca="1">INDIRECT("'"&amp;K3&amp;"'!dx"&amp;C1&amp;"")</f>
        <v>0</v>
      </c>
      <c r="L58" s="2">
        <f ca="1">INDIRECT("'"&amp;L3&amp;"'!dx"&amp;C1&amp;"")</f>
        <v>0</v>
      </c>
      <c r="M58" s="2">
        <f ca="1">INDIRECT("'"&amp;M3&amp;"'!dx"&amp;C1&amp;"")</f>
        <v>0</v>
      </c>
      <c r="N58" s="2">
        <f ca="1">INDIRECT("'"&amp;N3&amp;"'!dx"&amp;C1&amp;"")</f>
        <v>0</v>
      </c>
      <c r="O58" s="2">
        <f ca="1">INDIRECT("'"&amp;O3&amp;"'!dx"&amp;C1&amp;"")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INDIRECT("'"&amp;D3&amp;"'!dx"&amp;C2&amp;"")</f>
        <v>0</v>
      </c>
      <c r="E59" s="2">
        <f ca="1">INDIRECT("'"&amp;E3&amp;"'!dx"&amp;C2&amp;"")</f>
        <v>0</v>
      </c>
      <c r="F59" s="2">
        <f ca="1">INDIRECT("'"&amp;F3&amp;"'!dx"&amp;C2&amp;"")</f>
        <v>0</v>
      </c>
      <c r="G59" s="2">
        <f ca="1">INDIRECT("'"&amp;G3&amp;"'!dx"&amp;C2&amp;"")</f>
        <v>0</v>
      </c>
      <c r="H59" s="2">
        <f ca="1">INDIRECT("'"&amp;H3&amp;"'!dx"&amp;C2&amp;"")</f>
        <v>0</v>
      </c>
      <c r="I59" s="2">
        <f ca="1">INDIRECT("'"&amp;I3&amp;"'!dx"&amp;C2&amp;"")</f>
        <v>0</v>
      </c>
      <c r="J59" s="2">
        <f ca="1">INDIRECT("'"&amp;J3&amp;"'!dx"&amp;C2&amp;"")</f>
        <v>0</v>
      </c>
      <c r="K59" s="2">
        <f ca="1">INDIRECT("'"&amp;K3&amp;"'!dx"&amp;C2&amp;"")</f>
        <v>0</v>
      </c>
      <c r="L59" s="2">
        <f ca="1">INDIRECT("'"&amp;L3&amp;"'!dx"&amp;C2&amp;"")</f>
        <v>0</v>
      </c>
      <c r="M59" s="2">
        <f ca="1">INDIRECT("'"&amp;M3&amp;"'!dx"&amp;C2&amp;"")</f>
        <v>0</v>
      </c>
      <c r="N59" s="2">
        <f ca="1">INDIRECT("'"&amp;N3&amp;"'!dx"&amp;C2&amp;"")</f>
        <v>0</v>
      </c>
      <c r="O59" s="2">
        <f ca="1">INDIRECT("'"&amp;O3&amp;"'!dx"&amp;C2&amp;"")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INDIRECT("'"&amp;D3&amp;"'!i"&amp;C1&amp;"")</f>
        <v>0</v>
      </c>
      <c r="E61" s="88">
        <f ca="1">INDIRECT("'"&amp;E3&amp;"'!i"&amp;C1&amp;"")</f>
        <v>0</v>
      </c>
      <c r="F61" s="88">
        <f ca="1">INDIRECT("'"&amp;F3&amp;"'!i"&amp;C1&amp;"")</f>
        <v>0</v>
      </c>
      <c r="G61" s="88">
        <f ca="1">INDIRECT("'"&amp;G3&amp;"'!i"&amp;C1&amp;"")</f>
        <v>0</v>
      </c>
      <c r="H61" s="88">
        <f ca="1">INDIRECT("'"&amp;H3&amp;"'!i"&amp;C1&amp;"")</f>
        <v>0</v>
      </c>
      <c r="I61" s="88">
        <f ca="1">INDIRECT("'"&amp;I3&amp;"'!i"&amp;C1&amp;"")</f>
        <v>0</v>
      </c>
      <c r="J61" s="88">
        <f ca="1">INDIRECT("'"&amp;J3&amp;"'!i"&amp;C1&amp;"")</f>
        <v>0</v>
      </c>
      <c r="K61" s="88">
        <f ca="1">INDIRECT("'"&amp;K3&amp;"'!i"&amp;C1&amp;"")</f>
        <v>0</v>
      </c>
      <c r="L61" s="88">
        <f ca="1">INDIRECT("'"&amp;L3&amp;"'!i"&amp;C1&amp;"")</f>
        <v>0</v>
      </c>
      <c r="M61" s="88">
        <f ca="1">INDIRECT("'"&amp;M3&amp;"'!i"&amp;C1&amp;"")</f>
        <v>0</v>
      </c>
      <c r="N61" s="88">
        <f ca="1">INDIRECT("'"&amp;N3&amp;"'!i"&amp;C1&amp;"")</f>
        <v>0</v>
      </c>
      <c r="O61" s="90">
        <f ca="1">INDIRECT("'"&amp;O3&amp;"'!i"&amp;C1&amp;"")</f>
        <v>0</v>
      </c>
    </row>
    <row r="62" spans="1:15">
      <c r="A62" s="91" t="s">
        <v>372</v>
      </c>
      <c r="B62" s="92"/>
      <c r="C62" s="92"/>
      <c r="D62" s="92">
        <f ca="1">INDIRECT("'"&amp;D3&amp;"'!k"&amp;C1&amp;"")</f>
        <v>0</v>
      </c>
      <c r="E62" s="92">
        <f ca="1">INDIRECT("'"&amp;E3&amp;"'!k"&amp;C1&amp;"")</f>
        <v>0</v>
      </c>
      <c r="F62" s="92">
        <f ca="1">INDIRECT("'"&amp;F3&amp;"'!k"&amp;C1&amp;"")</f>
        <v>0</v>
      </c>
      <c r="G62" s="92">
        <f ca="1">INDIRECT("'"&amp;G3&amp;"'!k"&amp;C1&amp;"")</f>
        <v>0</v>
      </c>
      <c r="H62" s="92">
        <f ca="1">INDIRECT("'"&amp;H3&amp;"'!k"&amp;C1&amp;"")</f>
        <v>0</v>
      </c>
      <c r="I62" s="92">
        <f ca="1">INDIRECT("'"&amp;I3&amp;"'!k"&amp;C1&amp;"")</f>
        <v>0</v>
      </c>
      <c r="J62" s="92">
        <f ca="1">INDIRECT("'"&amp;J3&amp;"'!k"&amp;C1&amp;"")</f>
        <v>0</v>
      </c>
      <c r="K62" s="92">
        <f ca="1">INDIRECT("'"&amp;K3&amp;"'!k"&amp;C1&amp;"")</f>
        <v>0</v>
      </c>
      <c r="L62" s="92">
        <f ca="1">INDIRECT("'"&amp;L3&amp;"'!k"&amp;C1&amp;"")</f>
        <v>0</v>
      </c>
      <c r="M62" s="92">
        <f ca="1">INDIRECT("'"&amp;M3&amp;"'!k"&amp;C1&amp;"")</f>
        <v>0</v>
      </c>
      <c r="N62" s="92">
        <f ca="1">INDIRECT("'"&amp;N3&amp;"'!k"&amp;C1&amp;"")</f>
        <v>0</v>
      </c>
      <c r="O62" s="93">
        <f ca="1">INDIRECT("'"&amp;O3&amp;"'!k"&amp;C1&amp;"")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INDIRECT("'"&amp;D3&amp;"'!i"&amp;C2&amp;"")</f>
        <v>0</v>
      </c>
      <c r="E64" s="97">
        <f ca="1">INDIRECT("'"&amp;E3&amp;"'!i"&amp;C2&amp;"")</f>
        <v>0</v>
      </c>
      <c r="F64" s="97">
        <f ca="1">INDIRECT("'"&amp;F3&amp;"'!i"&amp;C2&amp;"")</f>
        <v>0</v>
      </c>
      <c r="G64" s="97">
        <f ca="1">INDIRECT("'"&amp;G3&amp;"'!i"&amp;C2&amp;"")</f>
        <v>0</v>
      </c>
      <c r="H64" s="97">
        <f ca="1">INDIRECT("'"&amp;H3&amp;"'!i"&amp;C2&amp;"")</f>
        <v>0</v>
      </c>
      <c r="I64" s="97">
        <f ca="1">INDIRECT("'"&amp;I3&amp;"'!i"&amp;C2&amp;"")</f>
        <v>0</v>
      </c>
      <c r="J64" s="97">
        <f ca="1">INDIRECT("'"&amp;J3&amp;"'!i"&amp;C2&amp;"")</f>
        <v>0</v>
      </c>
      <c r="K64" s="97">
        <f ca="1">INDIRECT("'"&amp;K3&amp;"'!i"&amp;C2&amp;"")</f>
        <v>0</v>
      </c>
      <c r="L64" s="97">
        <f ca="1">INDIRECT("'"&amp;L3&amp;"'!i"&amp;C2&amp;"")</f>
        <v>0</v>
      </c>
      <c r="M64" s="97">
        <f ca="1">INDIRECT("'"&amp;M3&amp;"'!i"&amp;C2&amp;"")</f>
        <v>0</v>
      </c>
      <c r="N64" s="97">
        <f ca="1">INDIRECT("'"&amp;N3&amp;"'!i"&amp;C2&amp;"")</f>
        <v>0</v>
      </c>
      <c r="O64" s="99">
        <f ca="1">INDIRECT("'"&amp;O3&amp;"'!i"&amp;C2&amp;"")</f>
        <v>0</v>
      </c>
    </row>
    <row r="65" spans="1:15">
      <c r="A65" s="100" t="s">
        <v>372</v>
      </c>
      <c r="B65" s="97"/>
      <c r="C65" s="97"/>
      <c r="D65" s="97">
        <f ca="1">INDIRECT("'"&amp;D3&amp;"'!k"&amp;C2&amp;"")</f>
        <v>0</v>
      </c>
      <c r="E65" s="97">
        <f ca="1">INDIRECT("'"&amp;E3&amp;"'!k"&amp;C2&amp;"")</f>
        <v>0</v>
      </c>
      <c r="F65" s="97">
        <f ca="1">INDIRECT("'"&amp;F3&amp;"'!k"&amp;C2&amp;"")</f>
        <v>0</v>
      </c>
      <c r="G65" s="97">
        <f ca="1">INDIRECT("'"&amp;G3&amp;"'!k"&amp;C2&amp;"")</f>
        <v>0</v>
      </c>
      <c r="H65" s="97">
        <f ca="1">INDIRECT("'"&amp;H3&amp;"'!k"&amp;C2&amp;"")</f>
        <v>0</v>
      </c>
      <c r="I65" s="97">
        <f ca="1">INDIRECT("'"&amp;I3&amp;"'!k"&amp;C2&amp;"")</f>
        <v>0</v>
      </c>
      <c r="J65" s="97">
        <f ca="1">INDIRECT("'"&amp;J3&amp;"'!k"&amp;C2&amp;"")</f>
        <v>0</v>
      </c>
      <c r="K65" s="97">
        <f ca="1">INDIRECT("'"&amp;K3&amp;"'!k"&amp;C2&amp;"")</f>
        <v>0</v>
      </c>
      <c r="L65" s="97">
        <f ca="1">INDIRECT("'"&amp;L3&amp;"'!k"&amp;C2&amp;"")</f>
        <v>0</v>
      </c>
      <c r="M65" s="97">
        <f ca="1">INDIRECT("'"&amp;M3&amp;"'!k"&amp;C2&amp;"")</f>
        <v>0</v>
      </c>
      <c r="N65" s="97">
        <f ca="1">INDIRECT("'"&amp;N3&amp;"'!k"&amp;C2&amp;"")</f>
        <v>0</v>
      </c>
      <c r="O65" s="99">
        <f ca="1">INDIRECT("'"&amp;O3&amp;"'!k"&amp;C2&amp;"")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INDIRECT("'"&amp;D3&amp;"'!q"&amp;C1&amp;"")</f>
        <v>0</v>
      </c>
      <c r="E67" s="88">
        <f ca="1">INDIRECT("'"&amp;E3&amp;"'!q"&amp;C1&amp;"")</f>
        <v>0</v>
      </c>
      <c r="F67" s="88">
        <f ca="1">INDIRECT("'"&amp;F3&amp;"'!q"&amp;C1&amp;"")</f>
        <v>0</v>
      </c>
      <c r="G67" s="88">
        <f ca="1">INDIRECT("'"&amp;G3&amp;"'!q"&amp;C1&amp;"")</f>
        <v>0</v>
      </c>
      <c r="H67" s="88">
        <f ca="1">INDIRECT("'"&amp;H3&amp;"'!q"&amp;C1&amp;"")</f>
        <v>0</v>
      </c>
      <c r="I67" s="88">
        <f ca="1">INDIRECT("'"&amp;I3&amp;"'!q"&amp;C1&amp;"")</f>
        <v>0</v>
      </c>
      <c r="J67" s="88">
        <f ca="1">INDIRECT("'"&amp;J3&amp;"'!q"&amp;C1&amp;"")</f>
        <v>0</v>
      </c>
      <c r="K67" s="88">
        <f ca="1">INDIRECT("'"&amp;K3&amp;"'!q"&amp;C1&amp;"")</f>
        <v>0</v>
      </c>
      <c r="L67" s="88">
        <f ca="1">INDIRECT("'"&amp;L3&amp;"'!q"&amp;C1&amp;"")</f>
        <v>0</v>
      </c>
      <c r="M67" s="88">
        <f ca="1">INDIRECT("'"&amp;M3&amp;"'!q"&amp;C1&amp;"")</f>
        <v>0</v>
      </c>
      <c r="N67" s="88">
        <f ca="1">INDIRECT("'"&amp;N3&amp;"'!q"&amp;C1&amp;"")</f>
        <v>0</v>
      </c>
      <c r="O67" s="90">
        <f ca="1">INDIRECT("'"&amp;O3&amp;"'!q"&amp;C1&amp;"")</f>
        <v>0</v>
      </c>
    </row>
    <row r="68" spans="1:15">
      <c r="A68" s="91" t="s">
        <v>372</v>
      </c>
      <c r="B68" s="92"/>
      <c r="C68" s="92"/>
      <c r="D68" s="92">
        <f ca="1">INDIRECT("'"&amp;D3&amp;"'!s"&amp;C1&amp;"")</f>
        <v>0</v>
      </c>
      <c r="E68" s="92">
        <f ca="1">INDIRECT("'"&amp;E3&amp;"'!s"&amp;C1&amp;"")</f>
        <v>0</v>
      </c>
      <c r="F68" s="92">
        <f ca="1">INDIRECT("'"&amp;F3&amp;"'!s"&amp;C1&amp;"")</f>
        <v>0</v>
      </c>
      <c r="G68" s="92">
        <f ca="1">INDIRECT("'"&amp;G3&amp;"'!s"&amp;C1&amp;"")</f>
        <v>0</v>
      </c>
      <c r="H68" s="92">
        <f ca="1">INDIRECT("'"&amp;H3&amp;"'!s"&amp;C1&amp;"")</f>
        <v>0</v>
      </c>
      <c r="I68" s="92">
        <f ca="1">INDIRECT("'"&amp;I3&amp;"'!s"&amp;C1&amp;"")</f>
        <v>0</v>
      </c>
      <c r="J68" s="92">
        <f ca="1">INDIRECT("'"&amp;J3&amp;"'!s"&amp;C1&amp;"")</f>
        <v>0</v>
      </c>
      <c r="K68" s="92">
        <f ca="1">INDIRECT("'"&amp;K3&amp;"'!s"&amp;C1&amp;"")</f>
        <v>0</v>
      </c>
      <c r="L68" s="92">
        <f ca="1">INDIRECT("'"&amp;L3&amp;"'!s"&amp;C1&amp;"")</f>
        <v>0</v>
      </c>
      <c r="M68" s="92">
        <f ca="1">INDIRECT("'"&amp;M3&amp;"'!s"&amp;C1&amp;"")</f>
        <v>0</v>
      </c>
      <c r="N68" s="92">
        <f ca="1">INDIRECT("'"&amp;N3&amp;"'!s"&amp;C1&amp;"")</f>
        <v>0</v>
      </c>
      <c r="O68" s="93">
        <f ca="1">INDIRECT("'"&amp;O3&amp;"'!s"&amp;C1&amp;"")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INDIRECT("'"&amp;D3&amp;"'!q"&amp;C2&amp;"")</f>
        <v>0</v>
      </c>
      <c r="E70" s="97">
        <f ca="1">INDIRECT("'"&amp;E3&amp;"'!q"&amp;C2&amp;"")</f>
        <v>0</v>
      </c>
      <c r="F70" s="97">
        <f ca="1">INDIRECT("'"&amp;F3&amp;"'!q"&amp;C2&amp;"")</f>
        <v>0</v>
      </c>
      <c r="G70" s="97">
        <f ca="1">INDIRECT("'"&amp;G3&amp;"'!q"&amp;C2&amp;"")</f>
        <v>0</v>
      </c>
      <c r="H70" s="97">
        <f ca="1">INDIRECT("'"&amp;H3&amp;"'!q"&amp;C2&amp;"")</f>
        <v>0</v>
      </c>
      <c r="I70" s="97">
        <f ca="1">INDIRECT("'"&amp;I3&amp;"'!q"&amp;C2&amp;"")</f>
        <v>0</v>
      </c>
      <c r="J70" s="97">
        <f ca="1">INDIRECT("'"&amp;J3&amp;"'!q"&amp;C2&amp;"")</f>
        <v>0</v>
      </c>
      <c r="K70" s="97">
        <f ca="1">INDIRECT("'"&amp;K3&amp;"'!q"&amp;C2&amp;"")</f>
        <v>0</v>
      </c>
      <c r="L70" s="97">
        <f ca="1">INDIRECT("'"&amp;L3&amp;"'!q"&amp;C2&amp;"")</f>
        <v>0</v>
      </c>
      <c r="M70" s="97">
        <f ca="1">INDIRECT("'"&amp;M3&amp;"'!q"&amp;C2&amp;"")</f>
        <v>0</v>
      </c>
      <c r="N70" s="97">
        <f ca="1">INDIRECT("'"&amp;N3&amp;"'!q"&amp;C2&amp;"")</f>
        <v>0</v>
      </c>
      <c r="O70" s="99">
        <f ca="1">INDIRECT("'"&amp;O3&amp;"'!q"&amp;C2&amp;"")</f>
        <v>0</v>
      </c>
    </row>
    <row r="71" spans="1:15">
      <c r="A71" s="100" t="s">
        <v>372</v>
      </c>
      <c r="B71" s="97"/>
      <c r="C71" s="97"/>
      <c r="D71" s="97">
        <f ca="1">INDIRECT("'"&amp;D3&amp;"'!s"&amp;C2&amp;"")</f>
        <v>0</v>
      </c>
      <c r="E71" s="97">
        <f ca="1">INDIRECT("'"&amp;E3&amp;"'!s"&amp;C2&amp;"")</f>
        <v>0</v>
      </c>
      <c r="F71" s="97">
        <f ca="1">INDIRECT("'"&amp;F3&amp;"'!s"&amp;C2&amp;"")</f>
        <v>0</v>
      </c>
      <c r="G71" s="97">
        <f ca="1">INDIRECT("'"&amp;G3&amp;"'!s"&amp;C2&amp;"")</f>
        <v>0</v>
      </c>
      <c r="H71" s="97">
        <f ca="1">INDIRECT("'"&amp;H3&amp;"'!s"&amp;C2&amp;"")</f>
        <v>0</v>
      </c>
      <c r="I71" s="97">
        <f ca="1">INDIRECT("'"&amp;I3&amp;"'!s"&amp;C2&amp;"")</f>
        <v>0</v>
      </c>
      <c r="J71" s="97">
        <f ca="1">INDIRECT("'"&amp;J3&amp;"'!s"&amp;C2&amp;"")</f>
        <v>0</v>
      </c>
      <c r="K71" s="97">
        <f ca="1">INDIRECT("'"&amp;K3&amp;"'!s"&amp;C2&amp;"")</f>
        <v>0</v>
      </c>
      <c r="L71" s="97">
        <f ca="1">INDIRECT("'"&amp;L3&amp;"'!s"&amp;C2&amp;"")</f>
        <v>0</v>
      </c>
      <c r="M71" s="97">
        <f ca="1">INDIRECT("'"&amp;M3&amp;"'!s"&amp;C2&amp;"")</f>
        <v>0</v>
      </c>
      <c r="N71" s="97">
        <f ca="1">INDIRECT("'"&amp;N3&amp;"'!s"&amp;C2&amp;"")</f>
        <v>0</v>
      </c>
      <c r="O71" s="99">
        <f ca="1">INDIRECT("'"&amp;O3&amp;"'!s"&amp;C2&amp;"")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INDIRECT("'"&amp;D3&amp;"'!bq"&amp;C1&amp;"")</f>
        <v>0</v>
      </c>
      <c r="E73" s="88">
        <f ca="1">INDIRECT("'"&amp;E3&amp;"'!bq"&amp;C1&amp;"")</f>
        <v>0</v>
      </c>
      <c r="F73" s="88">
        <f ca="1">INDIRECT("'"&amp;F3&amp;"'!bq"&amp;C1&amp;"")</f>
        <v>0</v>
      </c>
      <c r="G73" s="88">
        <f ca="1">INDIRECT("'"&amp;G3&amp;"'!bq"&amp;C1&amp;"")</f>
        <v>0</v>
      </c>
      <c r="H73" s="88">
        <f ca="1">INDIRECT("'"&amp;H3&amp;"'!bq"&amp;C1&amp;"")</f>
        <v>0</v>
      </c>
      <c r="I73" s="88">
        <f ca="1">INDIRECT("'"&amp;I3&amp;"'!bq"&amp;C1&amp;"")</f>
        <v>0</v>
      </c>
      <c r="J73" s="88">
        <f ca="1">INDIRECT("'"&amp;J3&amp;"'!bq"&amp;C1&amp;"")</f>
        <v>0</v>
      </c>
      <c r="K73" s="88">
        <f ca="1">INDIRECT("'"&amp;K3&amp;"'!bq"&amp;C1&amp;"")</f>
        <v>0</v>
      </c>
      <c r="L73" s="88">
        <f ca="1">INDIRECT("'"&amp;L3&amp;"'!bq"&amp;C1&amp;"")</f>
        <v>0</v>
      </c>
      <c r="M73" s="88">
        <f ca="1">INDIRECT("'"&amp;M3&amp;"'!bq"&amp;C1&amp;"")</f>
        <v>0</v>
      </c>
      <c r="N73" s="88">
        <f ca="1">INDIRECT("'"&amp;N3&amp;"'!bq"&amp;C1&amp;"")</f>
        <v>0</v>
      </c>
      <c r="O73" s="88">
        <f ca="1">INDIRECT("'"&amp;O3&amp;"'!bq"&amp;C1&amp;"")</f>
        <v>0</v>
      </c>
    </row>
    <row r="74" spans="1:15">
      <c r="A74" s="91" t="s">
        <v>372</v>
      </c>
      <c r="B74" s="92"/>
      <c r="C74" s="92"/>
      <c r="D74" s="92">
        <f ca="1">INDIRECT("'"&amp;D3&amp;"'!br"&amp;C1&amp;"")</f>
        <v>0</v>
      </c>
      <c r="E74" s="92">
        <f ca="1">INDIRECT("'"&amp;E3&amp;"'!br"&amp;C1&amp;"")</f>
        <v>0</v>
      </c>
      <c r="F74" s="92">
        <f ca="1">INDIRECT("'"&amp;F3&amp;"'!br"&amp;C1&amp;"")</f>
        <v>0</v>
      </c>
      <c r="G74" s="92">
        <f ca="1">INDIRECT("'"&amp;G3&amp;"'!br"&amp;C1&amp;"")</f>
        <v>0</v>
      </c>
      <c r="H74" s="92">
        <f ca="1">INDIRECT("'"&amp;H3&amp;"'!br"&amp;C1&amp;"")</f>
        <v>0</v>
      </c>
      <c r="I74" s="92">
        <f ca="1">INDIRECT("'"&amp;I3&amp;"'!br"&amp;C1&amp;"")</f>
        <v>0</v>
      </c>
      <c r="J74" s="92">
        <f ca="1">INDIRECT("'"&amp;J3&amp;"'!br"&amp;C1&amp;"")</f>
        <v>0</v>
      </c>
      <c r="K74" s="92">
        <f ca="1">INDIRECT("'"&amp;K3&amp;"'!br"&amp;C1&amp;"")</f>
        <v>0</v>
      </c>
      <c r="L74" s="92">
        <f ca="1">INDIRECT("'"&amp;L3&amp;"'!br"&amp;C1&amp;"")</f>
        <v>0</v>
      </c>
      <c r="M74" s="92">
        <f ca="1">INDIRECT("'"&amp;M3&amp;"'!br"&amp;C1&amp;"")</f>
        <v>0</v>
      </c>
      <c r="N74" s="92">
        <f ca="1">INDIRECT("'"&amp;N3&amp;"'!br"&amp;C1&amp;"")</f>
        <v>0</v>
      </c>
      <c r="O74" s="92">
        <f ca="1">INDIRECT("'"&amp;O3&amp;"'!br"&amp;C1&amp;"")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INDIRECT("'"&amp;D3&amp;"'!bq"&amp;C2&amp;"")</f>
        <v>0</v>
      </c>
      <c r="E76" s="97">
        <f ca="1">INDIRECT("'"&amp;E3&amp;"'!bq"&amp;C2&amp;"")</f>
        <v>0</v>
      </c>
      <c r="F76" s="97">
        <f ca="1">INDIRECT("'"&amp;F3&amp;"'!bq"&amp;C2&amp;"")</f>
        <v>0</v>
      </c>
      <c r="G76" s="97">
        <f ca="1">INDIRECT("'"&amp;G3&amp;"'!bq"&amp;C2&amp;"")</f>
        <v>0</v>
      </c>
      <c r="H76" s="97">
        <f ca="1">INDIRECT("'"&amp;H3&amp;"'!bq"&amp;C2&amp;"")</f>
        <v>0</v>
      </c>
      <c r="I76" s="97">
        <f ca="1">INDIRECT("'"&amp;I3&amp;"'!bq"&amp;C2&amp;"")</f>
        <v>0</v>
      </c>
      <c r="J76" s="97">
        <f ca="1">INDIRECT("'"&amp;J3&amp;"'!bq"&amp;C2&amp;"")</f>
        <v>0</v>
      </c>
      <c r="K76" s="97">
        <f ca="1">INDIRECT("'"&amp;K3&amp;"'!bq"&amp;C2&amp;"")</f>
        <v>0</v>
      </c>
      <c r="L76" s="97">
        <f ca="1">INDIRECT("'"&amp;L3&amp;"'!bq"&amp;C2&amp;"")</f>
        <v>0</v>
      </c>
      <c r="M76" s="97">
        <f ca="1">INDIRECT("'"&amp;M3&amp;"'!bq"&amp;C2&amp;"")</f>
        <v>0</v>
      </c>
      <c r="N76" s="97">
        <f ca="1">INDIRECT("'"&amp;N3&amp;"'!bq"&amp;C2&amp;"")</f>
        <v>0</v>
      </c>
      <c r="O76" s="97">
        <f ca="1">INDIRECT("'"&amp;O3&amp;"'!bq"&amp;C2&amp;"")</f>
        <v>0</v>
      </c>
    </row>
    <row r="77" spans="1:15">
      <c r="A77" s="100" t="s">
        <v>372</v>
      </c>
      <c r="B77" s="97"/>
      <c r="C77" s="97"/>
      <c r="D77" s="97">
        <f ca="1">INDIRECT("'"&amp;D3&amp;"'!br"&amp;C2&amp;"")</f>
        <v>0</v>
      </c>
      <c r="E77" s="97">
        <f ca="1">INDIRECT("'"&amp;E3&amp;"'!br"&amp;C2&amp;"")</f>
        <v>0</v>
      </c>
      <c r="F77" s="97">
        <f ca="1">INDIRECT("'"&amp;F3&amp;"'!br"&amp;C2&amp;"")</f>
        <v>0</v>
      </c>
      <c r="G77" s="97">
        <f ca="1">INDIRECT("'"&amp;G3&amp;"'!br"&amp;C2&amp;"")</f>
        <v>0</v>
      </c>
      <c r="H77" s="97">
        <f ca="1">INDIRECT("'"&amp;H3&amp;"'!br"&amp;C2&amp;"")</f>
        <v>0</v>
      </c>
      <c r="I77" s="97">
        <f ca="1">INDIRECT("'"&amp;I3&amp;"'!br"&amp;C2&amp;"")</f>
        <v>0</v>
      </c>
      <c r="J77" s="97">
        <f ca="1">INDIRECT("'"&amp;J3&amp;"'!br"&amp;C2&amp;"")</f>
        <v>0</v>
      </c>
      <c r="K77" s="97">
        <f ca="1">INDIRECT("'"&amp;K3&amp;"'!br"&amp;C2&amp;"")</f>
        <v>0</v>
      </c>
      <c r="L77" s="97">
        <f ca="1">INDIRECT("'"&amp;L3&amp;"'!br"&amp;C2&amp;"")</f>
        <v>0</v>
      </c>
      <c r="M77" s="97">
        <f ca="1">INDIRECT("'"&amp;M3&amp;"'!br"&amp;C2&amp;"")</f>
        <v>0</v>
      </c>
      <c r="N77" s="97">
        <f ca="1">INDIRECT("'"&amp;N3&amp;"'!br"&amp;C2&amp;"")</f>
        <v>0</v>
      </c>
      <c r="O77" s="97">
        <f ca="1">INDIRECT("'"&amp;O3&amp;"'!br"&amp;C2&amp;"")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INDIRECT("'"&amp;D3&amp;"'!by"&amp;C1&amp;"")</f>
        <v>0</v>
      </c>
      <c r="E79" s="88">
        <f ca="1">INDIRECT("'"&amp;E3&amp;"'!by"&amp;C1&amp;"")</f>
        <v>0</v>
      </c>
      <c r="F79" s="88">
        <f ca="1">INDIRECT("'"&amp;F3&amp;"'!by"&amp;C1&amp;"")</f>
        <v>0</v>
      </c>
      <c r="G79" s="88">
        <f ca="1">INDIRECT("'"&amp;G3&amp;"'!by"&amp;C1&amp;"")</f>
        <v>0</v>
      </c>
      <c r="H79" s="88">
        <f ca="1">INDIRECT("'"&amp;H3&amp;"'!by"&amp;C1&amp;"")</f>
        <v>0</v>
      </c>
      <c r="I79" s="88">
        <f ca="1">INDIRECT("'"&amp;I3&amp;"'!by"&amp;C1&amp;"")</f>
        <v>0</v>
      </c>
      <c r="J79" s="88">
        <f ca="1">INDIRECT("'"&amp;J3&amp;"'!by"&amp;C1&amp;"")</f>
        <v>0</v>
      </c>
      <c r="K79" s="88">
        <f ca="1">INDIRECT("'"&amp;K3&amp;"'!by"&amp;C1&amp;"")</f>
        <v>0</v>
      </c>
      <c r="L79" s="88">
        <f ca="1">INDIRECT("'"&amp;L3&amp;"'!by"&amp;C1&amp;"")</f>
        <v>0</v>
      </c>
      <c r="M79" s="88">
        <f ca="1">INDIRECT("'"&amp;M3&amp;"'!by"&amp;C1&amp;"")</f>
        <v>0</v>
      </c>
      <c r="N79" s="88">
        <f ca="1">INDIRECT("'"&amp;N3&amp;"'!by"&amp;C1&amp;"")</f>
        <v>0</v>
      </c>
      <c r="O79" s="88">
        <f ca="1">INDIRECT("'"&amp;O3&amp;"'!by"&amp;C1&amp;"")</f>
        <v>0</v>
      </c>
    </row>
    <row r="80" spans="1:15">
      <c r="A80" s="91" t="s">
        <v>372</v>
      </c>
      <c r="B80" s="92"/>
      <c r="C80" s="92"/>
      <c r="D80" s="92">
        <f ca="1">INDIRECT("'"&amp;D3&amp;"'!bz"&amp;C1&amp;"")</f>
        <v>0</v>
      </c>
      <c r="E80" s="92">
        <f ca="1">INDIRECT("'"&amp;E3&amp;"'!bz"&amp;C1&amp;"")</f>
        <v>0</v>
      </c>
      <c r="F80" s="92">
        <f ca="1">INDIRECT("'"&amp;F3&amp;"'!bz"&amp;C1&amp;"")</f>
        <v>0</v>
      </c>
      <c r="G80" s="92">
        <f ca="1">INDIRECT("'"&amp;G3&amp;"'!bz"&amp;C1&amp;"")</f>
        <v>0</v>
      </c>
      <c r="H80" s="92">
        <f ca="1">INDIRECT("'"&amp;H3&amp;"'!bz"&amp;C1&amp;"")</f>
        <v>0</v>
      </c>
      <c r="I80" s="92">
        <f ca="1">INDIRECT("'"&amp;I3&amp;"'!bz"&amp;C1&amp;"")</f>
        <v>0</v>
      </c>
      <c r="J80" s="92">
        <f ca="1">INDIRECT("'"&amp;J3&amp;"'!bz"&amp;C1&amp;"")</f>
        <v>0</v>
      </c>
      <c r="K80" s="92">
        <f ca="1">INDIRECT("'"&amp;K3&amp;"'!bz"&amp;C1&amp;"")</f>
        <v>0</v>
      </c>
      <c r="L80" s="92">
        <f ca="1">INDIRECT("'"&amp;L3&amp;"'!bz"&amp;C1&amp;"")</f>
        <v>0</v>
      </c>
      <c r="M80" s="92">
        <f ca="1">INDIRECT("'"&amp;M3&amp;"'!bz"&amp;C1&amp;"")</f>
        <v>0</v>
      </c>
      <c r="N80" s="92">
        <f ca="1">INDIRECT("'"&amp;N3&amp;"'!bz"&amp;C1&amp;"")</f>
        <v>0</v>
      </c>
      <c r="O80" s="92">
        <f ca="1">INDIRECT("'"&amp;O3&amp;"'!bz"&amp;C1&amp;"")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INDIRECT("'"&amp;D3&amp;"'!by"&amp;C2&amp;"")</f>
        <v>0</v>
      </c>
      <c r="E82" s="97">
        <f ca="1">INDIRECT("'"&amp;E3&amp;"'!by"&amp;C2&amp;"")</f>
        <v>0</v>
      </c>
      <c r="F82" s="97">
        <f ca="1">INDIRECT("'"&amp;F3&amp;"'!by"&amp;C2&amp;"")</f>
        <v>0</v>
      </c>
      <c r="G82" s="97">
        <f ca="1">INDIRECT("'"&amp;G3&amp;"'!by"&amp;C2&amp;"")</f>
        <v>0</v>
      </c>
      <c r="H82" s="97">
        <f ca="1">INDIRECT("'"&amp;H3&amp;"'!by"&amp;C2&amp;"")</f>
        <v>0</v>
      </c>
      <c r="I82" s="97">
        <f ca="1">INDIRECT("'"&amp;I3&amp;"'!by"&amp;C2&amp;"")</f>
        <v>0</v>
      </c>
      <c r="J82" s="97">
        <f ca="1">INDIRECT("'"&amp;J3&amp;"'!by"&amp;C2&amp;"")</f>
        <v>0</v>
      </c>
      <c r="K82" s="97">
        <f ca="1">INDIRECT("'"&amp;K3&amp;"'!by"&amp;C2&amp;"")</f>
        <v>0</v>
      </c>
      <c r="L82" s="97">
        <f ca="1">INDIRECT("'"&amp;L3&amp;"'!by"&amp;C2&amp;"")</f>
        <v>0</v>
      </c>
      <c r="M82" s="97">
        <f ca="1">INDIRECT("'"&amp;M3&amp;"'!by"&amp;C2&amp;"")</f>
        <v>0</v>
      </c>
      <c r="N82" s="97">
        <f ca="1">INDIRECT("'"&amp;N3&amp;"'!by"&amp;C2&amp;"")</f>
        <v>0</v>
      </c>
      <c r="O82" s="97">
        <f ca="1">INDIRECT("'"&amp;O3&amp;"'!by"&amp;C2&amp;"")</f>
        <v>0</v>
      </c>
    </row>
    <row r="83" spans="1:15">
      <c r="A83" s="100" t="s">
        <v>372</v>
      </c>
      <c r="B83" s="97"/>
      <c r="C83" s="97"/>
      <c r="D83" s="97">
        <f ca="1">INDIRECT("'"&amp;D3&amp;"'!bz"&amp;C2&amp;"")</f>
        <v>0</v>
      </c>
      <c r="E83" s="97">
        <f ca="1">INDIRECT("'"&amp;E3&amp;"'!bz"&amp;C2&amp;"")</f>
        <v>0</v>
      </c>
      <c r="F83" s="97">
        <f ca="1">INDIRECT("'"&amp;F3&amp;"'!bz"&amp;C2&amp;"")</f>
        <v>0</v>
      </c>
      <c r="G83" s="97">
        <f ca="1">INDIRECT("'"&amp;G3&amp;"'!bz"&amp;C2&amp;"")</f>
        <v>0</v>
      </c>
      <c r="H83" s="97">
        <f ca="1">INDIRECT("'"&amp;H3&amp;"'!bz"&amp;C2&amp;"")</f>
        <v>0</v>
      </c>
      <c r="I83" s="97">
        <f ca="1">INDIRECT("'"&amp;I3&amp;"'!bz"&amp;C2&amp;"")</f>
        <v>0</v>
      </c>
      <c r="J83" s="97">
        <f ca="1">INDIRECT("'"&amp;J3&amp;"'!bz"&amp;C2&amp;"")</f>
        <v>0</v>
      </c>
      <c r="K83" s="97">
        <f ca="1">INDIRECT("'"&amp;K3&amp;"'!bz"&amp;C2&amp;"")</f>
        <v>0</v>
      </c>
      <c r="L83" s="97">
        <f ca="1">INDIRECT("'"&amp;L3&amp;"'!bz"&amp;C2&amp;"")</f>
        <v>0</v>
      </c>
      <c r="M83" s="97">
        <f ca="1">INDIRECT("'"&amp;M3&amp;"'!bz"&amp;C2&amp;"")</f>
        <v>0</v>
      </c>
      <c r="N83" s="97">
        <f ca="1">INDIRECT("'"&amp;N3&amp;"'!bz"&amp;C2&amp;"")</f>
        <v>0</v>
      </c>
      <c r="O83" s="97">
        <f ca="1">INDIRECT("'"&amp;O3&amp;"'!bz"&amp;C2&amp;"")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INDIRECT("'"&amp;D3&amp;"'!cg"&amp;C1&amp;"")</f>
        <v>0</v>
      </c>
      <c r="E85" s="88">
        <f ca="1">INDIRECT("'"&amp;E3&amp;"'!cg"&amp;C1&amp;"")</f>
        <v>0</v>
      </c>
      <c r="F85" s="88">
        <f ca="1">INDIRECT("'"&amp;F3&amp;"'!cg"&amp;C1&amp;"")</f>
        <v>0</v>
      </c>
      <c r="G85" s="88">
        <f ca="1">INDIRECT("'"&amp;G3&amp;"'!cg"&amp;C1&amp;"")</f>
        <v>0</v>
      </c>
      <c r="H85" s="88">
        <f ca="1">INDIRECT("'"&amp;H3&amp;"'!cg"&amp;C1&amp;"")</f>
        <v>0</v>
      </c>
      <c r="I85" s="88">
        <f ca="1">INDIRECT("'"&amp;I3&amp;"'!cg"&amp;C1&amp;"")</f>
        <v>0</v>
      </c>
      <c r="J85" s="88">
        <f ca="1">INDIRECT("'"&amp;J3&amp;"'!cg"&amp;C1&amp;"")</f>
        <v>0</v>
      </c>
      <c r="K85" s="88">
        <f ca="1">INDIRECT("'"&amp;K3&amp;"'!cg"&amp;C1&amp;"")</f>
        <v>0</v>
      </c>
      <c r="L85" s="88">
        <f ca="1">INDIRECT("'"&amp;L3&amp;"'!cg"&amp;C1&amp;"")</f>
        <v>0</v>
      </c>
      <c r="M85" s="88">
        <f ca="1">INDIRECT("'"&amp;M3&amp;"'!cg"&amp;C1&amp;"")</f>
        <v>0</v>
      </c>
      <c r="N85" s="88">
        <f ca="1">INDIRECT("'"&amp;N3&amp;"'!cg"&amp;C1&amp;"")</f>
        <v>0</v>
      </c>
      <c r="O85" s="88">
        <f ca="1">INDIRECT("'"&amp;O3&amp;"'!cg"&amp;C1&amp;"")</f>
        <v>0</v>
      </c>
    </row>
    <row r="86" spans="1:15">
      <c r="A86" s="91" t="s">
        <v>372</v>
      </c>
      <c r="B86" s="92"/>
      <c r="C86" s="92"/>
      <c r="D86" s="92">
        <f ca="1">INDIRECT("'"&amp;D3&amp;"'!ch"&amp;C1&amp;"")</f>
        <v>0</v>
      </c>
      <c r="E86" s="92">
        <f ca="1">INDIRECT("'"&amp;E3&amp;"'!ch"&amp;C1&amp;"")</f>
        <v>0</v>
      </c>
      <c r="F86" s="92">
        <f ca="1">INDIRECT("'"&amp;F3&amp;"'!ch"&amp;C1&amp;"")</f>
        <v>0</v>
      </c>
      <c r="G86" s="92">
        <f ca="1">INDIRECT("'"&amp;G3&amp;"'!ch"&amp;C1&amp;"")</f>
        <v>0</v>
      </c>
      <c r="H86" s="92">
        <f ca="1">INDIRECT("'"&amp;H3&amp;"'!ch"&amp;C1&amp;"")</f>
        <v>0</v>
      </c>
      <c r="I86" s="92">
        <f ca="1">INDIRECT("'"&amp;I3&amp;"'!ch"&amp;C1&amp;"")</f>
        <v>0</v>
      </c>
      <c r="J86" s="92">
        <f ca="1">INDIRECT("'"&amp;J3&amp;"'!ch"&amp;C1&amp;"")</f>
        <v>0</v>
      </c>
      <c r="K86" s="92">
        <f ca="1">INDIRECT("'"&amp;K3&amp;"'!ch"&amp;C1&amp;"")</f>
        <v>0</v>
      </c>
      <c r="L86" s="92">
        <f ca="1">INDIRECT("'"&amp;L3&amp;"'!ch"&amp;C1&amp;"")</f>
        <v>0</v>
      </c>
      <c r="M86" s="92">
        <f ca="1">INDIRECT("'"&amp;M3&amp;"'!ch"&amp;C1&amp;"")</f>
        <v>0</v>
      </c>
      <c r="N86" s="92">
        <f ca="1">INDIRECT("'"&amp;N3&amp;"'!ch"&amp;C1&amp;"")</f>
        <v>0</v>
      </c>
      <c r="O86" s="92">
        <f ca="1">INDIRECT("'"&amp;O3&amp;"'!ch"&amp;C1&amp;"")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INDIRECT("'"&amp;D3&amp;"'!cg"&amp;C2&amp;"")</f>
        <v>0</v>
      </c>
      <c r="E88" s="97">
        <f ca="1">INDIRECT("'"&amp;E3&amp;"'!cg"&amp;C2&amp;"")</f>
        <v>0</v>
      </c>
      <c r="F88" s="97">
        <f ca="1">INDIRECT("'"&amp;F3&amp;"'!cg"&amp;C2&amp;"")</f>
        <v>0</v>
      </c>
      <c r="G88" s="97">
        <f ca="1">INDIRECT("'"&amp;G3&amp;"'!cg"&amp;C2&amp;"")</f>
        <v>0</v>
      </c>
      <c r="H88" s="97">
        <f ca="1">INDIRECT("'"&amp;H3&amp;"'!cg"&amp;C2&amp;"")</f>
        <v>0</v>
      </c>
      <c r="I88" s="97">
        <f ca="1">INDIRECT("'"&amp;I3&amp;"'!cg"&amp;C2&amp;"")</f>
        <v>0</v>
      </c>
      <c r="J88" s="97">
        <f ca="1">INDIRECT("'"&amp;J3&amp;"'!cg"&amp;C2&amp;"")</f>
        <v>0</v>
      </c>
      <c r="K88" s="97">
        <f ca="1">INDIRECT("'"&amp;K3&amp;"'!cg"&amp;C2&amp;"")</f>
        <v>0</v>
      </c>
      <c r="L88" s="97">
        <f ca="1">INDIRECT("'"&amp;L3&amp;"'!cg"&amp;C2&amp;"")</f>
        <v>0</v>
      </c>
      <c r="M88" s="97">
        <f ca="1">INDIRECT("'"&amp;M3&amp;"'!cg"&amp;C2&amp;"")</f>
        <v>0</v>
      </c>
      <c r="N88" s="97">
        <f ca="1">INDIRECT("'"&amp;N3&amp;"'!cg"&amp;C2&amp;"")</f>
        <v>0</v>
      </c>
      <c r="O88" s="97">
        <f ca="1">INDIRECT("'"&amp;O3&amp;"'!cg"&amp;C2&amp;"")</f>
        <v>0</v>
      </c>
    </row>
    <row r="89" spans="1:15">
      <c r="A89" s="100" t="s">
        <v>372</v>
      </c>
      <c r="B89" s="97"/>
      <c r="C89" s="97"/>
      <c r="D89" s="97">
        <f ca="1">INDIRECT("'"&amp;D3&amp;"'!ch"&amp;C2&amp;"")</f>
        <v>0</v>
      </c>
      <c r="E89" s="97">
        <f ca="1">INDIRECT("'"&amp;E3&amp;"'!ch"&amp;C2&amp;"")</f>
        <v>0</v>
      </c>
      <c r="F89" s="97">
        <f ca="1">INDIRECT("'"&amp;F3&amp;"'!ch"&amp;C2&amp;"")</f>
        <v>0</v>
      </c>
      <c r="G89" s="97">
        <f ca="1">INDIRECT("'"&amp;G3&amp;"'!ch"&amp;C2&amp;"")</f>
        <v>0</v>
      </c>
      <c r="H89" s="97">
        <f ca="1">INDIRECT("'"&amp;H3&amp;"'!ch"&amp;C2&amp;"")</f>
        <v>0</v>
      </c>
      <c r="I89" s="97">
        <f ca="1">INDIRECT("'"&amp;I3&amp;"'!ch"&amp;C2&amp;"")</f>
        <v>0</v>
      </c>
      <c r="J89" s="97">
        <f ca="1">INDIRECT("'"&amp;J3&amp;"'!ch"&amp;C2&amp;"")</f>
        <v>0</v>
      </c>
      <c r="K89" s="97">
        <f ca="1">INDIRECT("'"&amp;K3&amp;"'!ch"&amp;C2&amp;"")</f>
        <v>0</v>
      </c>
      <c r="L89" s="97">
        <f ca="1">INDIRECT("'"&amp;L3&amp;"'!ch"&amp;C2&amp;"")</f>
        <v>0</v>
      </c>
      <c r="M89" s="97">
        <f ca="1">INDIRECT("'"&amp;M3&amp;"'!ch"&amp;C2&amp;"")</f>
        <v>0</v>
      </c>
      <c r="N89" s="97">
        <f ca="1">INDIRECT("'"&amp;N3&amp;"'!ch"&amp;C2&amp;"")</f>
        <v>0</v>
      </c>
      <c r="O89" s="97">
        <f ca="1">INDIRECT("'"&amp;O3&amp;"'!ch"&amp;C2&amp;"")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INDIRECT("'"&amp;D3&amp;"'!ck"&amp;C1&amp;"")</f>
        <v>0</v>
      </c>
      <c r="E91" s="88">
        <f ca="1">INDIRECT("'"&amp;E3&amp;"'!ck"&amp;C1&amp;"")</f>
        <v>0</v>
      </c>
      <c r="F91" s="88">
        <f ca="1">INDIRECT("'"&amp;F3&amp;"'!ck"&amp;C1&amp;"")</f>
        <v>0</v>
      </c>
      <c r="G91" s="88">
        <f ca="1">INDIRECT("'"&amp;G3&amp;"'!ck"&amp;C1&amp;"")</f>
        <v>0</v>
      </c>
      <c r="H91" s="88">
        <f ca="1">INDIRECT("'"&amp;H3&amp;"'!ck"&amp;C1&amp;"")</f>
        <v>0</v>
      </c>
      <c r="I91" s="88">
        <f ca="1">INDIRECT("'"&amp;I3&amp;"'!ck"&amp;C1&amp;"")</f>
        <v>0</v>
      </c>
      <c r="J91" s="88">
        <f ca="1">INDIRECT("'"&amp;J3&amp;"'!ck"&amp;C1&amp;"")</f>
        <v>0</v>
      </c>
      <c r="K91" s="88">
        <f ca="1">INDIRECT("'"&amp;K3&amp;"'!ck"&amp;C1&amp;"")</f>
        <v>0</v>
      </c>
      <c r="L91" s="88">
        <f ca="1">INDIRECT("'"&amp;L3&amp;"'!ck"&amp;C1&amp;"")</f>
        <v>0</v>
      </c>
      <c r="M91" s="88">
        <f ca="1">INDIRECT("'"&amp;M3&amp;"'!ck"&amp;C1&amp;"")</f>
        <v>0</v>
      </c>
      <c r="N91" s="88">
        <f ca="1">INDIRECT("'"&amp;N3&amp;"'!ck"&amp;C1&amp;"")</f>
        <v>0</v>
      </c>
      <c r="O91" s="88">
        <f ca="1">INDIRECT("'"&amp;O3&amp;"'!ck"&amp;C1&amp;"")</f>
        <v>0</v>
      </c>
    </row>
    <row r="92" spans="1:15">
      <c r="A92" s="91" t="s">
        <v>372</v>
      </c>
      <c r="B92" s="92"/>
      <c r="C92" s="92"/>
      <c r="D92" s="92">
        <f ca="1">INDIRECT("'"&amp;D3&amp;"'!cl"&amp;C1&amp;"")</f>
        <v>0</v>
      </c>
      <c r="E92" s="92">
        <f ca="1">INDIRECT("'"&amp;E3&amp;"'!cl"&amp;C1&amp;"")</f>
        <v>0</v>
      </c>
      <c r="F92" s="92">
        <f ca="1">INDIRECT("'"&amp;F3&amp;"'!cl"&amp;C1&amp;"")</f>
        <v>0</v>
      </c>
      <c r="G92" s="92">
        <f ca="1">INDIRECT("'"&amp;G3&amp;"'!cl"&amp;C1&amp;"")</f>
        <v>0</v>
      </c>
      <c r="H92" s="92">
        <f ca="1">INDIRECT("'"&amp;H3&amp;"'!cl"&amp;C1&amp;"")</f>
        <v>0</v>
      </c>
      <c r="I92" s="92">
        <f ca="1">INDIRECT("'"&amp;I3&amp;"'!cl"&amp;C1&amp;"")</f>
        <v>0</v>
      </c>
      <c r="J92" s="92">
        <f ca="1">INDIRECT("'"&amp;J3&amp;"'!cl"&amp;C1&amp;"")</f>
        <v>0</v>
      </c>
      <c r="K92" s="92">
        <f ca="1">INDIRECT("'"&amp;K3&amp;"'!cl"&amp;C1&amp;"")</f>
        <v>0</v>
      </c>
      <c r="L92" s="92">
        <f ca="1">INDIRECT("'"&amp;L3&amp;"'!cl"&amp;C1&amp;"")</f>
        <v>0</v>
      </c>
      <c r="M92" s="92">
        <f ca="1">INDIRECT("'"&amp;M3&amp;"'!cl"&amp;C1&amp;"")</f>
        <v>0</v>
      </c>
      <c r="N92" s="92">
        <f ca="1">INDIRECT("'"&amp;N3&amp;"'!cl"&amp;C1&amp;"")</f>
        <v>0</v>
      </c>
      <c r="O92" s="92">
        <f ca="1">INDIRECT("'"&amp;O3&amp;"'!cl"&amp;C1&amp;"")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INDIRECT("'"&amp;D3&amp;"'!ck"&amp;C2&amp;"")</f>
        <v>0</v>
      </c>
      <c r="E94" s="97">
        <f ca="1">INDIRECT("'"&amp;E3&amp;"'!ck"&amp;C2&amp;"")</f>
        <v>0</v>
      </c>
      <c r="F94" s="97">
        <f ca="1">INDIRECT("'"&amp;F3&amp;"'!ck"&amp;C2&amp;"")</f>
        <v>0</v>
      </c>
      <c r="G94" s="97">
        <f ca="1">INDIRECT("'"&amp;G3&amp;"'!ck"&amp;C2&amp;"")</f>
        <v>0</v>
      </c>
      <c r="H94" s="97">
        <f ca="1">INDIRECT("'"&amp;H3&amp;"'!ck"&amp;C2&amp;"")</f>
        <v>0</v>
      </c>
      <c r="I94" s="97">
        <f ca="1">INDIRECT("'"&amp;I3&amp;"'!ck"&amp;C2&amp;"")</f>
        <v>0</v>
      </c>
      <c r="J94" s="97">
        <f ca="1">INDIRECT("'"&amp;J3&amp;"'!ck"&amp;C2&amp;"")</f>
        <v>0</v>
      </c>
      <c r="K94" s="97">
        <f ca="1">INDIRECT("'"&amp;K3&amp;"'!ck"&amp;C2&amp;"")</f>
        <v>0</v>
      </c>
      <c r="L94" s="97">
        <f ca="1">INDIRECT("'"&amp;L3&amp;"'!ck"&amp;C2&amp;"")</f>
        <v>0</v>
      </c>
      <c r="M94" s="97">
        <f ca="1">INDIRECT("'"&amp;M3&amp;"'!ck"&amp;C2&amp;"")</f>
        <v>0</v>
      </c>
      <c r="N94" s="97">
        <f ca="1">INDIRECT("'"&amp;N3&amp;"'!ck"&amp;C2&amp;"")</f>
        <v>0</v>
      </c>
      <c r="O94" s="97">
        <f ca="1">INDIRECT("'"&amp;O3&amp;"'!ck"&amp;C2&amp;"")</f>
        <v>0</v>
      </c>
    </row>
    <row r="95" spans="1:15">
      <c r="A95" s="100" t="s">
        <v>372</v>
      </c>
      <c r="B95" s="97"/>
      <c r="C95" s="97"/>
      <c r="D95" s="97">
        <f ca="1">INDIRECT("'"&amp;D3&amp;"'!cl"&amp;C2&amp;"")</f>
        <v>0</v>
      </c>
      <c r="E95" s="97">
        <f ca="1">INDIRECT("'"&amp;E3&amp;"'!cl"&amp;C2&amp;"")</f>
        <v>0</v>
      </c>
      <c r="F95" s="97">
        <f ca="1">INDIRECT("'"&amp;F3&amp;"'!cl"&amp;C2&amp;"")</f>
        <v>0</v>
      </c>
      <c r="G95" s="97">
        <f ca="1">INDIRECT("'"&amp;G3&amp;"'!cl"&amp;C2&amp;"")</f>
        <v>0</v>
      </c>
      <c r="H95" s="97">
        <f ca="1">INDIRECT("'"&amp;H3&amp;"'!cl"&amp;C2&amp;"")</f>
        <v>0</v>
      </c>
      <c r="I95" s="97">
        <f ca="1">INDIRECT("'"&amp;I3&amp;"'!cl"&amp;C2&amp;"")</f>
        <v>0</v>
      </c>
      <c r="J95" s="97">
        <f ca="1">INDIRECT("'"&amp;J3&amp;"'!cl"&amp;C2&amp;"")</f>
        <v>0</v>
      </c>
      <c r="K95" s="97">
        <f ca="1">INDIRECT("'"&amp;K3&amp;"'!cl"&amp;C2&amp;"")</f>
        <v>0</v>
      </c>
      <c r="L95" s="97">
        <f ca="1">INDIRECT("'"&amp;L3&amp;"'!cl"&amp;C2&amp;"")</f>
        <v>0</v>
      </c>
      <c r="M95" s="97">
        <f ca="1">INDIRECT("'"&amp;M3&amp;"'!cl"&amp;C2&amp;"")</f>
        <v>0</v>
      </c>
      <c r="N95" s="97">
        <f ca="1">INDIRECT("'"&amp;N3&amp;"'!cl"&amp;C2&amp;"")</f>
        <v>0</v>
      </c>
      <c r="O95" s="97">
        <f ca="1">INDIRECT("'"&amp;O3&amp;"'!cl"&amp;C2&amp;"")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INDIRECT("'"&amp;D3&amp;"'!cv"&amp;C1&amp;"")</f>
        <v>0</v>
      </c>
      <c r="E97" s="88">
        <f ca="1">INDIRECT("'"&amp;E3&amp;"'!cv"&amp;C1&amp;"")</f>
        <v>0</v>
      </c>
      <c r="F97" s="88">
        <f ca="1">INDIRECT("'"&amp;F3&amp;"'!cv"&amp;C1&amp;"")</f>
        <v>0</v>
      </c>
      <c r="G97" s="88">
        <f ca="1">INDIRECT("'"&amp;G3&amp;"'!cv"&amp;C1&amp;"")</f>
        <v>0</v>
      </c>
      <c r="H97" s="88">
        <f ca="1">INDIRECT("'"&amp;H3&amp;"'!cv"&amp;C1&amp;"")</f>
        <v>0</v>
      </c>
      <c r="I97" s="88">
        <f ca="1">INDIRECT("'"&amp;I3&amp;"'!cv"&amp;C1&amp;"")</f>
        <v>0</v>
      </c>
      <c r="J97" s="88">
        <f ca="1">INDIRECT("'"&amp;J3&amp;"'!cv"&amp;C1&amp;"")</f>
        <v>0</v>
      </c>
      <c r="K97" s="88">
        <f ca="1">INDIRECT("'"&amp;K3&amp;"'!cv"&amp;C1&amp;"")</f>
        <v>0</v>
      </c>
      <c r="L97" s="88">
        <f ca="1">INDIRECT("'"&amp;L3&amp;"'!cv"&amp;C1&amp;"")</f>
        <v>0</v>
      </c>
      <c r="M97" s="88">
        <f ca="1">INDIRECT("'"&amp;M3&amp;"'!cv"&amp;C1&amp;"")</f>
        <v>0</v>
      </c>
      <c r="N97" s="88">
        <f ca="1">INDIRECT("'"&amp;N3&amp;"'!cv"&amp;C1&amp;"")</f>
        <v>0</v>
      </c>
      <c r="O97" s="88">
        <f ca="1">INDIRECT("'"&amp;O3&amp;"'!cv"&amp;C1&amp;"")</f>
        <v>0</v>
      </c>
    </row>
    <row r="98" spans="1:15">
      <c r="A98" s="91" t="s">
        <v>372</v>
      </c>
      <c r="B98" s="92"/>
      <c r="C98" s="92"/>
      <c r="D98" s="92">
        <f ca="1">INDIRECT("'"&amp;D3&amp;"'!cw"&amp;C1&amp;"")</f>
        <v>0</v>
      </c>
      <c r="E98" s="92">
        <f ca="1">INDIRECT("'"&amp;E3&amp;"'!cw"&amp;C1&amp;"")</f>
        <v>0</v>
      </c>
      <c r="F98" s="92">
        <f ca="1">INDIRECT("'"&amp;F3&amp;"'!cw"&amp;C1&amp;"")</f>
        <v>0</v>
      </c>
      <c r="G98" s="92">
        <f ca="1">INDIRECT("'"&amp;G3&amp;"'!cw"&amp;C1&amp;"")</f>
        <v>0</v>
      </c>
      <c r="H98" s="92">
        <f ca="1">INDIRECT("'"&amp;H3&amp;"'!cw"&amp;C1&amp;"")</f>
        <v>0</v>
      </c>
      <c r="I98" s="92">
        <f ca="1">INDIRECT("'"&amp;I3&amp;"'!cw"&amp;C1&amp;"")</f>
        <v>0</v>
      </c>
      <c r="J98" s="92">
        <f ca="1">INDIRECT("'"&amp;J3&amp;"'!cw"&amp;C1&amp;"")</f>
        <v>0</v>
      </c>
      <c r="K98" s="92">
        <f ca="1">INDIRECT("'"&amp;K3&amp;"'!cw"&amp;C1&amp;"")</f>
        <v>0</v>
      </c>
      <c r="L98" s="92">
        <f ca="1">INDIRECT("'"&amp;L3&amp;"'!cw"&amp;C1&amp;"")</f>
        <v>0</v>
      </c>
      <c r="M98" s="92">
        <f ca="1">INDIRECT("'"&amp;M3&amp;"'!cw"&amp;C1&amp;"")</f>
        <v>0</v>
      </c>
      <c r="N98" s="92">
        <f ca="1">INDIRECT("'"&amp;N3&amp;"'!cw"&amp;C1&amp;"")</f>
        <v>0</v>
      </c>
      <c r="O98" s="92">
        <f ca="1">INDIRECT("'"&amp;O3&amp;"'!cw"&amp;C1&amp;"")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INDIRECT("'"&amp;D3&amp;"'!cv"&amp;C2&amp;"")</f>
        <v>0</v>
      </c>
      <c r="E100" s="97">
        <f ca="1">INDIRECT("'"&amp;E3&amp;"'!cv"&amp;C2&amp;"")</f>
        <v>0</v>
      </c>
      <c r="F100" s="97">
        <f ca="1">INDIRECT("'"&amp;F3&amp;"'!cv"&amp;C2&amp;"")</f>
        <v>0</v>
      </c>
      <c r="G100" s="97">
        <f ca="1">INDIRECT("'"&amp;G3&amp;"'!cv"&amp;C2&amp;"")</f>
        <v>0</v>
      </c>
      <c r="H100" s="97">
        <f ca="1">INDIRECT("'"&amp;H3&amp;"'!cv"&amp;C2&amp;"")</f>
        <v>0</v>
      </c>
      <c r="I100" s="97">
        <f ca="1">INDIRECT("'"&amp;I3&amp;"'!cv"&amp;C2&amp;"")</f>
        <v>0</v>
      </c>
      <c r="J100" s="97">
        <f ca="1">INDIRECT("'"&amp;J3&amp;"'!cv"&amp;C2&amp;"")</f>
        <v>0</v>
      </c>
      <c r="K100" s="97">
        <f ca="1">INDIRECT("'"&amp;K3&amp;"'!cv"&amp;C2&amp;"")</f>
        <v>0</v>
      </c>
      <c r="L100" s="97">
        <f ca="1">INDIRECT("'"&amp;L3&amp;"'!cv"&amp;C2&amp;"")</f>
        <v>0</v>
      </c>
      <c r="M100" s="97">
        <f ca="1">INDIRECT("'"&amp;M3&amp;"'!cv"&amp;C2&amp;"")</f>
        <v>0</v>
      </c>
      <c r="N100" s="97">
        <f ca="1">INDIRECT("'"&amp;N3&amp;"'!cv"&amp;C2&amp;"")</f>
        <v>0</v>
      </c>
      <c r="O100" s="97">
        <f ca="1">INDIRECT("'"&amp;O3&amp;"'!cv"&amp;C2&amp;"")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INDIRECT("'"&amp;D3&amp;"'!cw"&amp;C2&amp;"")</f>
        <v>0</v>
      </c>
      <c r="E101" s="97">
        <f ca="1">INDIRECT("'"&amp;E3&amp;"'!cw"&amp;C2&amp;"")</f>
        <v>0</v>
      </c>
      <c r="F101" s="97">
        <f ca="1">INDIRECT("'"&amp;F3&amp;"'!cw"&amp;C2&amp;"")</f>
        <v>0</v>
      </c>
      <c r="G101" s="97">
        <f ca="1">INDIRECT("'"&amp;G3&amp;"'!cw"&amp;C2&amp;"")</f>
        <v>0</v>
      </c>
      <c r="H101" s="97">
        <f ca="1">INDIRECT("'"&amp;H3&amp;"'!cw"&amp;C2&amp;"")</f>
        <v>0</v>
      </c>
      <c r="I101" s="97">
        <f ca="1">INDIRECT("'"&amp;I3&amp;"'!cw"&amp;C2&amp;"")</f>
        <v>0</v>
      </c>
      <c r="J101" s="97">
        <f ca="1">INDIRECT("'"&amp;J3&amp;"'!cw"&amp;C2&amp;"")</f>
        <v>0</v>
      </c>
      <c r="K101" s="97">
        <f ca="1">INDIRECT("'"&amp;K3&amp;"'!cw"&amp;C2&amp;"")</f>
        <v>0</v>
      </c>
      <c r="L101" s="97">
        <f ca="1">INDIRECT("'"&amp;L3&amp;"'!cw"&amp;C2&amp;"")</f>
        <v>0</v>
      </c>
      <c r="M101" s="97">
        <f ca="1">INDIRECT("'"&amp;M3&amp;"'!cw"&amp;C2&amp;"")</f>
        <v>0</v>
      </c>
      <c r="N101" s="97">
        <f ca="1">INDIRECT("'"&amp;N3&amp;"'!cw"&amp;C2&amp;"")</f>
        <v>0</v>
      </c>
      <c r="O101" s="97">
        <f ca="1">INDIRECT("'"&amp;O3&amp;"'!cw"&amp;C2&amp;"")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INDIRECT("'"&amp;D3&amp;"'!dg"&amp;C1&amp;"")</f>
        <v>0</v>
      </c>
      <c r="E103" s="88">
        <f ca="1">INDIRECT("'"&amp;E3&amp;"'!dg"&amp;C1&amp;"")</f>
        <v>0</v>
      </c>
      <c r="F103" s="88">
        <f ca="1">INDIRECT("'"&amp;F3&amp;"'!dg"&amp;C1&amp;"")</f>
        <v>0</v>
      </c>
      <c r="G103" s="88">
        <f ca="1">INDIRECT("'"&amp;G3&amp;"'!dg"&amp;C1&amp;"")</f>
        <v>0</v>
      </c>
      <c r="H103" s="88">
        <f ca="1">INDIRECT("'"&amp;H3&amp;"'!dg"&amp;C1&amp;"")</f>
        <v>0</v>
      </c>
      <c r="I103" s="88">
        <f ca="1">INDIRECT("'"&amp;I3&amp;"'!dg"&amp;C1&amp;"")</f>
        <v>0</v>
      </c>
      <c r="J103" s="88">
        <f ca="1">INDIRECT("'"&amp;J3&amp;"'!dg"&amp;C1&amp;"")</f>
        <v>0</v>
      </c>
      <c r="K103" s="88">
        <f ca="1">INDIRECT("'"&amp;K3&amp;"'!dg"&amp;C1&amp;"")</f>
        <v>0</v>
      </c>
      <c r="L103" s="88">
        <f ca="1">INDIRECT("'"&amp;L3&amp;"'!dg"&amp;C1&amp;"")</f>
        <v>0</v>
      </c>
      <c r="M103" s="88">
        <f ca="1">INDIRECT("'"&amp;M3&amp;"'!dg"&amp;C1&amp;"")</f>
        <v>0</v>
      </c>
      <c r="N103" s="88">
        <f ca="1">INDIRECT("'"&amp;N3&amp;"'!dg"&amp;C1&amp;"")</f>
        <v>0</v>
      </c>
      <c r="O103" s="88">
        <f ca="1">INDIRECT("'"&amp;O3&amp;"'!dg"&amp;C1&amp;"")</f>
        <v>0</v>
      </c>
    </row>
    <row r="104" spans="1:15">
      <c r="A104" s="91" t="s">
        <v>372</v>
      </c>
      <c r="B104" s="92"/>
      <c r="C104" s="92"/>
      <c r="D104" s="92">
        <f ca="1">INDIRECT("'"&amp;D3&amp;"'!dh"&amp;C1&amp;"")</f>
        <v>0</v>
      </c>
      <c r="E104" s="92">
        <f ca="1">INDIRECT("'"&amp;E3&amp;"'!dh"&amp;C1&amp;"")</f>
        <v>0</v>
      </c>
      <c r="F104" s="92">
        <f ca="1">INDIRECT("'"&amp;F3&amp;"'!dh"&amp;C1&amp;"")</f>
        <v>0</v>
      </c>
      <c r="G104" s="92">
        <f ca="1">INDIRECT("'"&amp;G3&amp;"'!dh"&amp;C1&amp;"")</f>
        <v>0</v>
      </c>
      <c r="H104" s="92">
        <f ca="1">INDIRECT("'"&amp;H3&amp;"'!dh"&amp;C1&amp;"")</f>
        <v>0</v>
      </c>
      <c r="I104" s="92">
        <f ca="1">INDIRECT("'"&amp;I3&amp;"'!dh"&amp;C1&amp;"")</f>
        <v>0</v>
      </c>
      <c r="J104" s="92">
        <f ca="1">INDIRECT("'"&amp;J3&amp;"'!dh"&amp;C1&amp;"")</f>
        <v>0</v>
      </c>
      <c r="K104" s="92">
        <f ca="1">INDIRECT("'"&amp;K3&amp;"'!dh"&amp;C1&amp;"")</f>
        <v>0</v>
      </c>
      <c r="L104" s="92">
        <f ca="1">INDIRECT("'"&amp;L3&amp;"'!dh"&amp;C1&amp;"")</f>
        <v>0</v>
      </c>
      <c r="M104" s="92">
        <f ca="1">INDIRECT("'"&amp;M3&amp;"'!dh"&amp;C1&amp;"")</f>
        <v>0</v>
      </c>
      <c r="N104" s="92">
        <f ca="1">INDIRECT("'"&amp;N3&amp;"'!dh"&amp;C1&amp;"")</f>
        <v>0</v>
      </c>
      <c r="O104" s="92">
        <f ca="1">INDIRECT("'"&amp;O3&amp;"'!dh"&amp;C1&amp;"")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INDIRECT("'"&amp;D3&amp;"'!dg"&amp;C2&amp;"")</f>
        <v>0</v>
      </c>
      <c r="E106" s="97">
        <f ca="1">INDIRECT("'"&amp;E3&amp;"'!dg"&amp;C2&amp;"")</f>
        <v>0</v>
      </c>
      <c r="F106" s="97">
        <f ca="1">INDIRECT("'"&amp;F3&amp;"'!dg"&amp;C2&amp;"")</f>
        <v>0</v>
      </c>
      <c r="G106" s="97">
        <f ca="1">INDIRECT("'"&amp;G3&amp;"'!dg"&amp;C2&amp;"")</f>
        <v>0</v>
      </c>
      <c r="H106" s="97">
        <f ca="1">INDIRECT("'"&amp;H3&amp;"'!dg"&amp;C2&amp;"")</f>
        <v>0</v>
      </c>
      <c r="I106" s="97">
        <f ca="1">INDIRECT("'"&amp;I3&amp;"'!dg"&amp;C2&amp;"")</f>
        <v>0</v>
      </c>
      <c r="J106" s="97">
        <f ca="1">INDIRECT("'"&amp;J3&amp;"'!dg"&amp;C2&amp;"")</f>
        <v>0</v>
      </c>
      <c r="K106" s="97">
        <f ca="1">INDIRECT("'"&amp;K3&amp;"'!dg"&amp;C2&amp;"")</f>
        <v>0</v>
      </c>
      <c r="L106" s="97">
        <f ca="1">INDIRECT("'"&amp;L3&amp;"'!dg"&amp;C2&amp;"")</f>
        <v>0</v>
      </c>
      <c r="M106" s="97">
        <f ca="1">INDIRECT("'"&amp;M3&amp;"'!dg"&amp;C2&amp;"")</f>
        <v>0</v>
      </c>
      <c r="N106" s="97">
        <f ca="1">INDIRECT("'"&amp;N3&amp;"'!dg"&amp;C2&amp;"")</f>
        <v>0</v>
      </c>
      <c r="O106" s="97">
        <f ca="1">INDIRECT("'"&amp;O3&amp;"'!dg"&amp;C2&amp;"")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INDIRECT("'"&amp;D3&amp;"'!dh"&amp;C2&amp;"")</f>
        <v>0</v>
      </c>
      <c r="E107" s="97">
        <f ca="1">INDIRECT("'"&amp;E3&amp;"'!dh"&amp;C2&amp;"")</f>
        <v>0</v>
      </c>
      <c r="F107" s="97">
        <f ca="1">INDIRECT("'"&amp;F3&amp;"'!dh"&amp;C2&amp;"")</f>
        <v>0</v>
      </c>
      <c r="G107" s="97">
        <f ca="1">INDIRECT("'"&amp;G3&amp;"'!dh"&amp;C2&amp;"")</f>
        <v>0</v>
      </c>
      <c r="H107" s="97">
        <f ca="1">INDIRECT("'"&amp;H3&amp;"'!dh"&amp;C2&amp;"")</f>
        <v>0</v>
      </c>
      <c r="I107" s="97">
        <f ca="1">INDIRECT("'"&amp;I3&amp;"'!dh"&amp;C2&amp;"")</f>
        <v>0</v>
      </c>
      <c r="J107" s="97">
        <f ca="1">INDIRECT("'"&amp;J3&amp;"'!dh"&amp;C2&amp;"")</f>
        <v>0</v>
      </c>
      <c r="K107" s="97">
        <f ca="1">INDIRECT("'"&amp;K3&amp;"'!dh"&amp;C2&amp;"")</f>
        <v>0</v>
      </c>
      <c r="L107" s="97">
        <f ca="1">INDIRECT("'"&amp;L3&amp;"'!dh"&amp;C2&amp;"")</f>
        <v>0</v>
      </c>
      <c r="M107" s="97">
        <f ca="1">INDIRECT("'"&amp;M3&amp;"'!dh"&amp;C2&amp;"")</f>
        <v>0</v>
      </c>
      <c r="N107" s="97">
        <f ca="1">INDIRECT("'"&amp;N3&amp;"'!dh"&amp;C2&amp;"")</f>
        <v>0</v>
      </c>
      <c r="O107" s="97">
        <f ca="1">INDIRECT("'"&amp;O3&amp;"'!dh"&amp;C2&amp;"")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6:C264"/>
  <sheetViews>
    <sheetView topLeftCell="A241" workbookViewId="0">
      <selection activeCell="A6" sqref="A6"/>
    </sheetView>
  </sheetViews>
  <sheetFormatPr defaultRowHeight="15"/>
  <cols>
    <col min="1" max="1" width="19.5703125" customWidth="1"/>
    <col min="2" max="2" width="27.28515625" customWidth="1"/>
  </cols>
  <sheetData>
    <row r="6" spans="1:3">
      <c r="A6" s="1" t="s">
        <v>271</v>
      </c>
      <c r="B6" s="1" t="s">
        <v>271</v>
      </c>
      <c r="C6" t="s">
        <v>271</v>
      </c>
    </row>
    <row r="7" spans="1:3">
      <c r="A7" s="1" t="s">
        <v>272</v>
      </c>
      <c r="B7" s="1" t="s">
        <v>272</v>
      </c>
      <c r="C7" t="s">
        <v>272</v>
      </c>
    </row>
    <row r="8" spans="1:3">
      <c r="A8" s="1" t="s">
        <v>1</v>
      </c>
      <c r="B8" s="1" t="s">
        <v>1</v>
      </c>
      <c r="C8" t="s">
        <v>1</v>
      </c>
    </row>
    <row r="9" spans="1:3">
      <c r="A9" s="1" t="s">
        <v>536</v>
      </c>
      <c r="B9" s="1" t="s">
        <v>536</v>
      </c>
      <c r="C9" t="s">
        <v>536</v>
      </c>
    </row>
    <row r="10" spans="1:3">
      <c r="A10" s="1" t="s">
        <v>537</v>
      </c>
      <c r="B10" s="1" t="s">
        <v>537</v>
      </c>
      <c r="C10" t="s">
        <v>537</v>
      </c>
    </row>
    <row r="11" spans="1:3">
      <c r="A11" s="1" t="s">
        <v>570</v>
      </c>
      <c r="B11" s="1" t="s">
        <v>570</v>
      </c>
      <c r="C11" t="s">
        <v>570</v>
      </c>
    </row>
    <row r="12" spans="1:3">
      <c r="A12" s="1" t="s">
        <v>608</v>
      </c>
      <c r="B12" s="1" t="s">
        <v>608</v>
      </c>
      <c r="C12" t="s">
        <v>608</v>
      </c>
    </row>
    <row r="13" spans="1:3">
      <c r="A13" s="1" t="s">
        <v>609</v>
      </c>
      <c r="B13" s="1" t="s">
        <v>609</v>
      </c>
      <c r="C13" t="s">
        <v>609</v>
      </c>
    </row>
    <row r="14" spans="1:3">
      <c r="A14" s="1" t="s">
        <v>1</v>
      </c>
      <c r="B14" s="1" t="s">
        <v>1</v>
      </c>
      <c r="C14" t="s">
        <v>1</v>
      </c>
    </row>
    <row r="15" spans="1:3">
      <c r="A15" s="1" t="s">
        <v>271</v>
      </c>
      <c r="B15" s="1" t="s">
        <v>271</v>
      </c>
      <c r="C15" t="s">
        <v>271</v>
      </c>
    </row>
    <row r="16" spans="1:3">
      <c r="A16" s="1" t="s">
        <v>273</v>
      </c>
      <c r="B16" s="1" t="s">
        <v>273</v>
      </c>
      <c r="C16" t="s">
        <v>273</v>
      </c>
    </row>
    <row r="17" spans="1:3">
      <c r="A17" s="1" t="s">
        <v>1</v>
      </c>
      <c r="B17" s="1" t="s">
        <v>1</v>
      </c>
      <c r="C17" t="s">
        <v>1</v>
      </c>
    </row>
    <row r="18" spans="1:3">
      <c r="A18" s="1" t="s">
        <v>540</v>
      </c>
      <c r="B18" s="1" t="s">
        <v>540</v>
      </c>
      <c r="C18" t="s">
        <v>540</v>
      </c>
    </row>
    <row r="19" spans="1:3">
      <c r="A19" s="1" t="s">
        <v>541</v>
      </c>
      <c r="B19" s="1" t="s">
        <v>541</v>
      </c>
      <c r="C19" t="s">
        <v>541</v>
      </c>
    </row>
    <row r="20" spans="1:3">
      <c r="A20" s="1" t="s">
        <v>570</v>
      </c>
      <c r="B20" s="1" t="s">
        <v>570</v>
      </c>
      <c r="C20" t="s">
        <v>570</v>
      </c>
    </row>
    <row r="21" spans="1:3">
      <c r="A21" s="1" t="s">
        <v>610</v>
      </c>
      <c r="B21" s="1" t="s">
        <v>610</v>
      </c>
      <c r="C21" t="s">
        <v>610</v>
      </c>
    </row>
    <row r="22" spans="1:3">
      <c r="A22" s="1" t="s">
        <v>611</v>
      </c>
      <c r="B22" s="1" t="s">
        <v>611</v>
      </c>
      <c r="C22" t="s">
        <v>611</v>
      </c>
    </row>
    <row r="23" spans="1:3">
      <c r="A23" s="1" t="s">
        <v>1</v>
      </c>
      <c r="B23" s="1" t="s">
        <v>1</v>
      </c>
      <c r="C23" t="s">
        <v>1</v>
      </c>
    </row>
    <row r="24" spans="1:3">
      <c r="A24" s="1" t="s">
        <v>271</v>
      </c>
      <c r="B24" s="1" t="s">
        <v>271</v>
      </c>
      <c r="C24" t="s">
        <v>271</v>
      </c>
    </row>
    <row r="25" spans="1:3">
      <c r="A25" s="1" t="s">
        <v>274</v>
      </c>
      <c r="B25" s="1" t="s">
        <v>274</v>
      </c>
      <c r="C25" t="s">
        <v>274</v>
      </c>
    </row>
    <row r="26" spans="1:3">
      <c r="A26" s="1" t="s">
        <v>1</v>
      </c>
      <c r="B26" s="1" t="s">
        <v>1</v>
      </c>
      <c r="C26" t="s">
        <v>1</v>
      </c>
    </row>
    <row r="27" spans="1:3">
      <c r="A27" s="1" t="s">
        <v>544</v>
      </c>
      <c r="B27" s="1" t="s">
        <v>544</v>
      </c>
      <c r="C27" t="s">
        <v>544</v>
      </c>
    </row>
    <row r="28" spans="1:3">
      <c r="A28" s="1" t="s">
        <v>537</v>
      </c>
      <c r="B28" s="1" t="s">
        <v>537</v>
      </c>
      <c r="C28" t="s">
        <v>537</v>
      </c>
    </row>
    <row r="29" spans="1:3">
      <c r="A29" s="1" t="s">
        <v>570</v>
      </c>
      <c r="B29" s="1" t="s">
        <v>570</v>
      </c>
      <c r="C29" t="s">
        <v>570</v>
      </c>
    </row>
    <row r="30" spans="1:3">
      <c r="A30" s="1" t="s">
        <v>612</v>
      </c>
      <c r="B30" s="1" t="s">
        <v>612</v>
      </c>
      <c r="C30" t="s">
        <v>612</v>
      </c>
    </row>
    <row r="31" spans="1:3">
      <c r="A31" s="1" t="s">
        <v>613</v>
      </c>
      <c r="B31" s="1" t="s">
        <v>613</v>
      </c>
      <c r="C31" t="s">
        <v>613</v>
      </c>
    </row>
    <row r="32" spans="1:3">
      <c r="A32" s="1" t="s">
        <v>1</v>
      </c>
      <c r="B32" s="1" t="s">
        <v>1</v>
      </c>
      <c r="C32" t="s">
        <v>1</v>
      </c>
    </row>
    <row r="33" spans="1:3">
      <c r="A33" s="1" t="s">
        <v>271</v>
      </c>
      <c r="B33" s="1" t="s">
        <v>271</v>
      </c>
      <c r="C33" t="s">
        <v>271</v>
      </c>
    </row>
    <row r="34" spans="1:3">
      <c r="A34" s="1" t="s">
        <v>275</v>
      </c>
      <c r="B34" s="1" t="s">
        <v>275</v>
      </c>
      <c r="C34" t="s">
        <v>275</v>
      </c>
    </row>
    <row r="35" spans="1:3">
      <c r="A35" s="1" t="s">
        <v>1</v>
      </c>
      <c r="B35" s="1" t="s">
        <v>1</v>
      </c>
      <c r="C35" t="s">
        <v>1</v>
      </c>
    </row>
    <row r="36" spans="1:3">
      <c r="A36" s="1" t="s">
        <v>276</v>
      </c>
      <c r="B36" s="1" t="s">
        <v>276</v>
      </c>
      <c r="C36" t="s">
        <v>276</v>
      </c>
    </row>
    <row r="37" spans="1:3">
      <c r="A37" s="1" t="s">
        <v>277</v>
      </c>
      <c r="B37" s="1" t="s">
        <v>277</v>
      </c>
      <c r="C37" t="s">
        <v>277</v>
      </c>
    </row>
    <row r="38" spans="1:3">
      <c r="A38" s="1" t="s">
        <v>1</v>
      </c>
      <c r="B38" s="1" t="s">
        <v>1</v>
      </c>
      <c r="C38" t="s">
        <v>1</v>
      </c>
    </row>
    <row r="39" spans="1:3">
      <c r="A39" s="1" t="s">
        <v>547</v>
      </c>
      <c r="B39" s="1" t="s">
        <v>547</v>
      </c>
      <c r="C39" t="s">
        <v>547</v>
      </c>
    </row>
    <row r="40" spans="1:3">
      <c r="A40" s="1" t="s">
        <v>548</v>
      </c>
      <c r="B40" s="1" t="s">
        <v>548</v>
      </c>
      <c r="C40" t="s">
        <v>548</v>
      </c>
    </row>
    <row r="41" spans="1:3">
      <c r="A41" s="1" t="s">
        <v>1</v>
      </c>
      <c r="B41" s="1" t="s">
        <v>1</v>
      </c>
      <c r="C41" t="s">
        <v>1</v>
      </c>
    </row>
    <row r="42" spans="1:3">
      <c r="A42" s="1" t="s">
        <v>271</v>
      </c>
      <c r="B42" s="1" t="s">
        <v>271</v>
      </c>
      <c r="C42" t="s">
        <v>271</v>
      </c>
    </row>
    <row r="43" spans="1:3">
      <c r="A43" s="1" t="s">
        <v>278</v>
      </c>
      <c r="B43" s="1" t="s">
        <v>278</v>
      </c>
      <c r="C43" t="s">
        <v>278</v>
      </c>
    </row>
    <row r="44" spans="1:3">
      <c r="A44" s="1" t="s">
        <v>1</v>
      </c>
      <c r="B44" s="1" t="s">
        <v>1</v>
      </c>
      <c r="C44" t="s">
        <v>1</v>
      </c>
    </row>
    <row r="45" spans="1:3">
      <c r="A45" s="1" t="s">
        <v>271</v>
      </c>
      <c r="B45" s="1" t="s">
        <v>271</v>
      </c>
      <c r="C45" t="s">
        <v>271</v>
      </c>
    </row>
    <row r="46" spans="1:3">
      <c r="A46" s="1" t="s">
        <v>279</v>
      </c>
      <c r="B46" s="1" t="s">
        <v>279</v>
      </c>
      <c r="C46" t="s">
        <v>279</v>
      </c>
    </row>
    <row r="47" spans="1:3">
      <c r="A47" s="1" t="s">
        <v>1</v>
      </c>
      <c r="B47" s="1" t="s">
        <v>1</v>
      </c>
      <c r="C47" t="s">
        <v>1</v>
      </c>
    </row>
    <row r="48" spans="1:3">
      <c r="A48" s="1" t="s">
        <v>549</v>
      </c>
      <c r="B48" s="1" t="s">
        <v>549</v>
      </c>
      <c r="C48" t="s">
        <v>549</v>
      </c>
    </row>
    <row r="49" spans="1:3">
      <c r="A49" s="1" t="s">
        <v>550</v>
      </c>
      <c r="B49" s="1" t="s">
        <v>550</v>
      </c>
      <c r="C49" t="s">
        <v>550</v>
      </c>
    </row>
    <row r="50" spans="1:3">
      <c r="A50" s="1" t="s">
        <v>570</v>
      </c>
      <c r="B50" s="1" t="s">
        <v>570</v>
      </c>
      <c r="C50" t="s">
        <v>570</v>
      </c>
    </row>
    <row r="51" spans="1:3">
      <c r="A51" s="1" t="s">
        <v>614</v>
      </c>
      <c r="B51" s="1" t="s">
        <v>614</v>
      </c>
      <c r="C51" t="s">
        <v>614</v>
      </c>
    </row>
    <row r="52" spans="1:3">
      <c r="A52" s="1" t="s">
        <v>615</v>
      </c>
      <c r="B52" s="1" t="s">
        <v>615</v>
      </c>
      <c r="C52" t="s">
        <v>615</v>
      </c>
    </row>
    <row r="53" spans="1:3">
      <c r="A53" s="1" t="s">
        <v>1</v>
      </c>
      <c r="B53" s="1" t="s">
        <v>1</v>
      </c>
      <c r="C53" t="s">
        <v>1</v>
      </c>
    </row>
    <row r="54" spans="1:3">
      <c r="A54" s="1" t="s">
        <v>280</v>
      </c>
      <c r="B54" s="1" t="s">
        <v>280</v>
      </c>
      <c r="C54" t="s">
        <v>280</v>
      </c>
    </row>
    <row r="55" spans="1:3">
      <c r="A55" s="1" t="s">
        <v>281</v>
      </c>
      <c r="B55" s="1" t="s">
        <v>281</v>
      </c>
      <c r="C55" t="s">
        <v>281</v>
      </c>
    </row>
    <row r="56" spans="1:3">
      <c r="A56" s="1" t="s">
        <v>1</v>
      </c>
      <c r="B56" s="1" t="s">
        <v>1</v>
      </c>
      <c r="C56" t="s">
        <v>1</v>
      </c>
    </row>
    <row r="57" spans="1:3">
      <c r="A57" s="1" t="s">
        <v>282</v>
      </c>
      <c r="B57" s="1" t="s">
        <v>282</v>
      </c>
      <c r="C57" t="s">
        <v>282</v>
      </c>
    </row>
    <row r="58" spans="1:3">
      <c r="A58" s="1" t="s">
        <v>283</v>
      </c>
      <c r="B58" s="1" t="s">
        <v>283</v>
      </c>
      <c r="C58" t="s">
        <v>283</v>
      </c>
    </row>
    <row r="59" spans="1:3">
      <c r="A59" s="1" t="s">
        <v>1</v>
      </c>
      <c r="B59" s="1" t="s">
        <v>1</v>
      </c>
      <c r="C59" t="s">
        <v>1</v>
      </c>
    </row>
    <row r="60" spans="1:3">
      <c r="A60" s="1" t="s">
        <v>284</v>
      </c>
      <c r="B60" s="1" t="s">
        <v>284</v>
      </c>
      <c r="C60" t="s">
        <v>284</v>
      </c>
    </row>
    <row r="61" spans="1:3">
      <c r="A61" s="1" t="s">
        <v>285</v>
      </c>
      <c r="B61" s="1" t="s">
        <v>285</v>
      </c>
      <c r="C61" t="s">
        <v>285</v>
      </c>
    </row>
    <row r="62" spans="1:3">
      <c r="A62" s="1" t="s">
        <v>1</v>
      </c>
      <c r="B62" s="1" t="s">
        <v>1</v>
      </c>
      <c r="C62" t="s">
        <v>1</v>
      </c>
    </row>
    <row r="63" spans="1:3">
      <c r="A63" s="1" t="s">
        <v>286</v>
      </c>
      <c r="B63" s="1" t="s">
        <v>286</v>
      </c>
      <c r="C63" t="s">
        <v>286</v>
      </c>
    </row>
    <row r="64" spans="1:3">
      <c r="A64" s="1" t="s">
        <v>287</v>
      </c>
      <c r="B64" s="1" t="s">
        <v>287</v>
      </c>
      <c r="C64" t="s">
        <v>287</v>
      </c>
    </row>
    <row r="65" spans="1:3">
      <c r="A65" s="1" t="s">
        <v>1</v>
      </c>
      <c r="B65" s="1" t="s">
        <v>1</v>
      </c>
      <c r="C65" t="s">
        <v>1</v>
      </c>
    </row>
    <row r="66" spans="1:3">
      <c r="A66" s="1" t="s">
        <v>288</v>
      </c>
      <c r="B66" s="1" t="s">
        <v>288</v>
      </c>
      <c r="C66" t="s">
        <v>288</v>
      </c>
    </row>
    <row r="67" spans="1:3">
      <c r="A67" s="1" t="s">
        <v>289</v>
      </c>
      <c r="B67" s="1" t="s">
        <v>289</v>
      </c>
      <c r="C67" t="s">
        <v>289</v>
      </c>
    </row>
    <row r="68" spans="1:3">
      <c r="A68" s="1" t="s">
        <v>1</v>
      </c>
      <c r="B68" s="1" t="s">
        <v>1</v>
      </c>
      <c r="C68" t="s">
        <v>1</v>
      </c>
    </row>
    <row r="69" spans="1:3">
      <c r="A69" s="1" t="s">
        <v>290</v>
      </c>
      <c r="B69" s="1" t="s">
        <v>290</v>
      </c>
      <c r="C69" t="s">
        <v>290</v>
      </c>
    </row>
    <row r="70" spans="1:3">
      <c r="A70" s="1" t="s">
        <v>291</v>
      </c>
      <c r="B70" s="1" t="s">
        <v>291</v>
      </c>
      <c r="C70" t="s">
        <v>291</v>
      </c>
    </row>
    <row r="71" spans="1:3">
      <c r="A71" s="1" t="s">
        <v>1</v>
      </c>
      <c r="B71" s="1" t="s">
        <v>1</v>
      </c>
      <c r="C71" t="s">
        <v>1</v>
      </c>
    </row>
    <row r="72" spans="1:3">
      <c r="A72" s="1" t="s">
        <v>292</v>
      </c>
      <c r="B72" s="1" t="s">
        <v>292</v>
      </c>
      <c r="C72" t="s">
        <v>292</v>
      </c>
    </row>
    <row r="73" spans="1:3">
      <c r="A73" s="1" t="s">
        <v>293</v>
      </c>
      <c r="B73" s="1" t="s">
        <v>293</v>
      </c>
      <c r="C73" t="s">
        <v>293</v>
      </c>
    </row>
    <row r="74" spans="1:3">
      <c r="A74" s="1" t="s">
        <v>1</v>
      </c>
      <c r="B74" s="1" t="s">
        <v>1</v>
      </c>
      <c r="C74" t="s">
        <v>1</v>
      </c>
    </row>
    <row r="75" spans="1:3">
      <c r="A75" s="1" t="s">
        <v>294</v>
      </c>
      <c r="B75" s="1" t="s">
        <v>294</v>
      </c>
      <c r="C75" t="s">
        <v>294</v>
      </c>
    </row>
    <row r="76" spans="1:3">
      <c r="A76" s="1" t="s">
        <v>295</v>
      </c>
      <c r="B76" s="1" t="s">
        <v>295</v>
      </c>
      <c r="C76" t="s">
        <v>295</v>
      </c>
    </row>
    <row r="77" spans="1:3">
      <c r="A77" s="1" t="s">
        <v>1</v>
      </c>
      <c r="B77" s="1" t="s">
        <v>1</v>
      </c>
      <c r="C77" t="s">
        <v>1</v>
      </c>
    </row>
    <row r="78" spans="1:3">
      <c r="A78" s="1" t="s">
        <v>296</v>
      </c>
      <c r="B78" s="1" t="s">
        <v>296</v>
      </c>
      <c r="C78" t="s">
        <v>296</v>
      </c>
    </row>
    <row r="79" spans="1:3">
      <c r="A79" s="1" t="s">
        <v>289</v>
      </c>
      <c r="B79" s="1" t="s">
        <v>289</v>
      </c>
      <c r="C79" t="s">
        <v>289</v>
      </c>
    </row>
    <row r="80" spans="1:3">
      <c r="A80" s="1" t="s">
        <v>1</v>
      </c>
      <c r="B80" s="1" t="s">
        <v>1</v>
      </c>
      <c r="C80" t="s">
        <v>1</v>
      </c>
    </row>
    <row r="81" spans="1:3">
      <c r="A81" s="1" t="s">
        <v>297</v>
      </c>
      <c r="B81" s="1" t="s">
        <v>297</v>
      </c>
      <c r="C81" t="s">
        <v>297</v>
      </c>
    </row>
    <row r="82" spans="1:3">
      <c r="A82" s="1" t="s">
        <v>291</v>
      </c>
      <c r="B82" s="1" t="s">
        <v>291</v>
      </c>
      <c r="C82" t="s">
        <v>291</v>
      </c>
    </row>
    <row r="83" spans="1:3">
      <c r="A83" s="1" t="s">
        <v>1</v>
      </c>
      <c r="B83" s="1" t="s">
        <v>1</v>
      </c>
      <c r="C83" t="s">
        <v>1</v>
      </c>
    </row>
    <row r="84" spans="1:3">
      <c r="A84" s="1" t="s">
        <v>298</v>
      </c>
      <c r="B84" s="1" t="s">
        <v>298</v>
      </c>
      <c r="C84" t="s">
        <v>298</v>
      </c>
    </row>
    <row r="85" spans="1:3">
      <c r="A85" s="1" t="s">
        <v>291</v>
      </c>
      <c r="B85" s="1" t="s">
        <v>291</v>
      </c>
      <c r="C85" t="s">
        <v>291</v>
      </c>
    </row>
    <row r="86" spans="1:3">
      <c r="A86" s="1" t="s">
        <v>1</v>
      </c>
      <c r="B86" s="1" t="s">
        <v>1</v>
      </c>
      <c r="C86" t="s">
        <v>1</v>
      </c>
    </row>
    <row r="87" spans="1:3">
      <c r="A87" s="1" t="s">
        <v>299</v>
      </c>
      <c r="B87" s="1" t="s">
        <v>299</v>
      </c>
      <c r="C87" t="s">
        <v>299</v>
      </c>
    </row>
    <row r="88" spans="1:3">
      <c r="A88" s="1" t="s">
        <v>291</v>
      </c>
      <c r="B88" s="1" t="s">
        <v>291</v>
      </c>
      <c r="C88" t="s">
        <v>291</v>
      </c>
    </row>
    <row r="89" spans="1:3">
      <c r="A89" s="1" t="s">
        <v>1</v>
      </c>
      <c r="B89" s="1" t="s">
        <v>1</v>
      </c>
      <c r="C89" t="s">
        <v>1</v>
      </c>
    </row>
    <row r="90" spans="1:3">
      <c r="A90" s="1" t="s">
        <v>300</v>
      </c>
      <c r="B90" s="1" t="s">
        <v>300</v>
      </c>
      <c r="C90" t="s">
        <v>300</v>
      </c>
    </row>
    <row r="91" spans="1:3">
      <c r="A91" s="1" t="s">
        <v>293</v>
      </c>
      <c r="B91" s="1" t="s">
        <v>293</v>
      </c>
      <c r="C91" t="s">
        <v>293</v>
      </c>
    </row>
    <row r="92" spans="1:3">
      <c r="A92" s="1" t="s">
        <v>1</v>
      </c>
      <c r="B92" s="1" t="s">
        <v>1</v>
      </c>
      <c r="C92" t="s">
        <v>1</v>
      </c>
    </row>
    <row r="93" spans="1:3">
      <c r="A93" s="1" t="s">
        <v>301</v>
      </c>
      <c r="B93" s="1" t="s">
        <v>301</v>
      </c>
      <c r="C93" t="s">
        <v>301</v>
      </c>
    </row>
    <row r="94" spans="1:3">
      <c r="A94" s="1" t="s">
        <v>302</v>
      </c>
      <c r="B94" s="1" t="s">
        <v>302</v>
      </c>
      <c r="C94" t="s">
        <v>302</v>
      </c>
    </row>
    <row r="95" spans="1:3">
      <c r="A95" s="1" t="s">
        <v>1</v>
      </c>
      <c r="B95" s="1" t="s">
        <v>1</v>
      </c>
      <c r="C95" t="s">
        <v>1</v>
      </c>
    </row>
    <row r="96" spans="1:3">
      <c r="A96" s="260" t="s">
        <v>308</v>
      </c>
      <c r="B96" s="260" t="s">
        <v>307</v>
      </c>
      <c r="C96" t="s">
        <v>308</v>
      </c>
    </row>
    <row r="97" spans="1:3">
      <c r="A97" s="260" t="s">
        <v>309</v>
      </c>
      <c r="B97" s="260" t="s">
        <v>302</v>
      </c>
      <c r="C97" t="s">
        <v>309</v>
      </c>
    </row>
    <row r="98" spans="1:3">
      <c r="A98" s="1" t="s">
        <v>1</v>
      </c>
      <c r="B98" s="1" t="s">
        <v>1</v>
      </c>
      <c r="C98" t="s">
        <v>1</v>
      </c>
    </row>
    <row r="99" spans="1:3">
      <c r="A99" s="1" t="s">
        <v>645</v>
      </c>
      <c r="B99" s="1" t="s">
        <v>308</v>
      </c>
      <c r="C99" t="s">
        <v>645</v>
      </c>
    </row>
    <row r="100" spans="1:3">
      <c r="A100" s="1" t="s">
        <v>1110</v>
      </c>
      <c r="B100" s="1" t="s">
        <v>309</v>
      </c>
      <c r="C100" t="s">
        <v>1110</v>
      </c>
    </row>
    <row r="101" spans="1:3">
      <c r="A101" s="1" t="s">
        <v>1</v>
      </c>
      <c r="B101" s="1" t="s">
        <v>1</v>
      </c>
      <c r="C101" t="s">
        <v>1</v>
      </c>
    </row>
    <row r="102" spans="1:3">
      <c r="A102" s="1" t="s">
        <v>271</v>
      </c>
      <c r="B102" s="1" t="s">
        <v>645</v>
      </c>
      <c r="C102" t="s">
        <v>271</v>
      </c>
    </row>
    <row r="103" spans="1:3">
      <c r="A103" s="1" t="s">
        <v>312</v>
      </c>
      <c r="B103" s="1" t="s">
        <v>646</v>
      </c>
      <c r="C103" t="s">
        <v>312</v>
      </c>
    </row>
    <row r="104" spans="1:3">
      <c r="A104" s="1" t="s">
        <v>1</v>
      </c>
      <c r="B104" s="1" t="s">
        <v>1</v>
      </c>
      <c r="C104" t="s">
        <v>1</v>
      </c>
    </row>
    <row r="105" spans="1:3">
      <c r="A105" s="1" t="s">
        <v>271</v>
      </c>
      <c r="B105" s="1" t="s">
        <v>271</v>
      </c>
      <c r="C105" t="s">
        <v>271</v>
      </c>
    </row>
    <row r="106" spans="1:3">
      <c r="A106" s="1" t="s">
        <v>313</v>
      </c>
      <c r="B106" s="1" t="s">
        <v>312</v>
      </c>
      <c r="C106" t="s">
        <v>313</v>
      </c>
    </row>
    <row r="107" spans="1:3">
      <c r="A107" s="1" t="s">
        <v>1</v>
      </c>
      <c r="B107" s="1" t="s">
        <v>1</v>
      </c>
      <c r="C107" t="s">
        <v>1</v>
      </c>
    </row>
    <row r="108" spans="1:3">
      <c r="A108" s="1" t="s">
        <v>553</v>
      </c>
      <c r="B108" s="1" t="s">
        <v>271</v>
      </c>
      <c r="C108" t="s">
        <v>553</v>
      </c>
    </row>
    <row r="109" spans="1:3">
      <c r="A109" s="1" t="s">
        <v>554</v>
      </c>
      <c r="B109" s="1" t="s">
        <v>313</v>
      </c>
      <c r="C109" t="s">
        <v>554</v>
      </c>
    </row>
    <row r="110" spans="1:3">
      <c r="A110" s="1" t="s">
        <v>570</v>
      </c>
      <c r="B110" s="1" t="s">
        <v>1</v>
      </c>
      <c r="C110" t="s">
        <v>570</v>
      </c>
    </row>
    <row r="111" spans="1:3">
      <c r="A111" s="1" t="s">
        <v>616</v>
      </c>
      <c r="B111" s="1" t="s">
        <v>553</v>
      </c>
      <c r="C111" t="s">
        <v>616</v>
      </c>
    </row>
    <row r="112" spans="1:3">
      <c r="A112" s="1" t="s">
        <v>617</v>
      </c>
      <c r="B112" s="1" t="s">
        <v>554</v>
      </c>
      <c r="C112" t="s">
        <v>617</v>
      </c>
    </row>
    <row r="113" spans="1:3">
      <c r="A113" s="1" t="s">
        <v>1</v>
      </c>
      <c r="B113" s="1" t="s">
        <v>570</v>
      </c>
      <c r="C113" t="s">
        <v>1</v>
      </c>
    </row>
    <row r="114" spans="1:3">
      <c r="A114" s="1" t="s">
        <v>271</v>
      </c>
      <c r="B114" s="1" t="s">
        <v>616</v>
      </c>
      <c r="C114" t="s">
        <v>271</v>
      </c>
    </row>
    <row r="115" spans="1:3">
      <c r="A115" s="1" t="s">
        <v>2</v>
      </c>
      <c r="B115" s="1" t="s">
        <v>617</v>
      </c>
      <c r="C115" t="s">
        <v>2</v>
      </c>
    </row>
    <row r="116" spans="1:3">
      <c r="A116" s="1" t="s">
        <v>1</v>
      </c>
      <c r="B116" s="1" t="s">
        <v>1</v>
      </c>
      <c r="C116" t="s">
        <v>1</v>
      </c>
    </row>
    <row r="117" spans="1:3">
      <c r="A117" s="1" t="s">
        <v>557</v>
      </c>
      <c r="B117" s="1" t="s">
        <v>271</v>
      </c>
      <c r="C117" t="s">
        <v>557</v>
      </c>
    </row>
    <row r="118" spans="1:3">
      <c r="A118" s="1" t="s">
        <v>537</v>
      </c>
      <c r="B118" s="1" t="s">
        <v>2</v>
      </c>
      <c r="C118" t="s">
        <v>537</v>
      </c>
    </row>
    <row r="119" spans="1:3">
      <c r="A119" s="1" t="s">
        <v>570</v>
      </c>
      <c r="B119" s="1" t="s">
        <v>1</v>
      </c>
      <c r="C119" t="s">
        <v>570</v>
      </c>
    </row>
    <row r="120" spans="1:3">
      <c r="A120" s="1" t="s">
        <v>618</v>
      </c>
      <c r="B120" s="1" t="s">
        <v>557</v>
      </c>
      <c r="C120" t="s">
        <v>618</v>
      </c>
    </row>
    <row r="121" spans="1:3">
      <c r="A121" s="1" t="s">
        <v>609</v>
      </c>
      <c r="B121" s="1" t="s">
        <v>537</v>
      </c>
      <c r="C121" t="s">
        <v>609</v>
      </c>
    </row>
    <row r="122" spans="1:3">
      <c r="A122" s="1" t="s">
        <v>1</v>
      </c>
      <c r="B122" s="1" t="s">
        <v>570</v>
      </c>
      <c r="C122" t="s">
        <v>1</v>
      </c>
    </row>
    <row r="123" spans="1:3">
      <c r="A123" s="1" t="s">
        <v>647</v>
      </c>
      <c r="B123" s="1" t="s">
        <v>618</v>
      </c>
      <c r="C123" t="s">
        <v>647</v>
      </c>
    </row>
    <row r="124" spans="1:3">
      <c r="A124" s="1" t="s">
        <v>559</v>
      </c>
      <c r="B124" s="1" t="s">
        <v>609</v>
      </c>
      <c r="C124" t="s">
        <v>559</v>
      </c>
    </row>
    <row r="125" spans="1:3">
      <c r="A125" s="1" t="s">
        <v>1</v>
      </c>
      <c r="B125" s="1" t="s">
        <v>1</v>
      </c>
      <c r="C125" t="s">
        <v>1</v>
      </c>
    </row>
    <row r="126" spans="1:3">
      <c r="A126" s="1" t="s">
        <v>560</v>
      </c>
      <c r="B126" s="1" t="s">
        <v>647</v>
      </c>
      <c r="C126" t="s">
        <v>560</v>
      </c>
    </row>
    <row r="127" spans="1:3">
      <c r="A127" s="1" t="s">
        <v>537</v>
      </c>
      <c r="B127" s="1" t="s">
        <v>559</v>
      </c>
      <c r="C127" t="s">
        <v>537</v>
      </c>
    </row>
    <row r="128" spans="1:3">
      <c r="A128" s="1" t="s">
        <v>570</v>
      </c>
      <c r="B128" s="1" t="s">
        <v>1</v>
      </c>
      <c r="C128" t="s">
        <v>570</v>
      </c>
    </row>
    <row r="129" spans="1:3">
      <c r="A129" s="1" t="s">
        <v>619</v>
      </c>
      <c r="B129" s="1" t="s">
        <v>560</v>
      </c>
      <c r="C129" t="s">
        <v>619</v>
      </c>
    </row>
    <row r="130" spans="1:3">
      <c r="A130" s="1" t="s">
        <v>620</v>
      </c>
      <c r="B130" s="1" t="s">
        <v>537</v>
      </c>
      <c r="C130" t="s">
        <v>620</v>
      </c>
    </row>
    <row r="131" spans="1:3">
      <c r="A131" s="1" t="s">
        <v>1</v>
      </c>
      <c r="B131" s="1" t="s">
        <v>570</v>
      </c>
      <c r="C131" t="s">
        <v>1</v>
      </c>
    </row>
    <row r="132" spans="1:3">
      <c r="A132" s="1" t="s">
        <v>314</v>
      </c>
      <c r="B132" s="1" t="s">
        <v>619</v>
      </c>
      <c r="C132" t="s">
        <v>314</v>
      </c>
    </row>
    <row r="133" spans="1:3">
      <c r="A133" s="1" t="s">
        <v>315</v>
      </c>
      <c r="B133" s="1" t="s">
        <v>620</v>
      </c>
      <c r="C133" t="s">
        <v>315</v>
      </c>
    </row>
    <row r="134" spans="1:3">
      <c r="A134" s="1" t="s">
        <v>1</v>
      </c>
      <c r="B134" s="1" t="s">
        <v>1</v>
      </c>
      <c r="C134" t="s">
        <v>1</v>
      </c>
    </row>
    <row r="135" spans="1:3">
      <c r="A135" s="1" t="s">
        <v>563</v>
      </c>
      <c r="B135" s="1" t="s">
        <v>314</v>
      </c>
      <c r="C135" t="s">
        <v>563</v>
      </c>
    </row>
    <row r="136" spans="1:3">
      <c r="A136" s="1" t="s">
        <v>564</v>
      </c>
      <c r="B136" s="1" t="s">
        <v>315</v>
      </c>
      <c r="C136" t="s">
        <v>564</v>
      </c>
    </row>
    <row r="137" spans="1:3">
      <c r="A137" s="1" t="s">
        <v>570</v>
      </c>
      <c r="B137" s="1" t="s">
        <v>1</v>
      </c>
      <c r="C137" t="s">
        <v>570</v>
      </c>
    </row>
    <row r="138" spans="1:3">
      <c r="A138" s="1" t="s">
        <v>621</v>
      </c>
      <c r="B138" s="1" t="s">
        <v>563</v>
      </c>
      <c r="C138" t="s">
        <v>621</v>
      </c>
    </row>
    <row r="139" spans="1:3">
      <c r="A139" s="1" t="s">
        <v>622</v>
      </c>
      <c r="B139" s="1" t="s">
        <v>564</v>
      </c>
      <c r="C139" t="s">
        <v>622</v>
      </c>
    </row>
    <row r="140" spans="1:3">
      <c r="A140" s="1" t="s">
        <v>1</v>
      </c>
      <c r="B140" s="1" t="s">
        <v>570</v>
      </c>
      <c r="C140" t="s">
        <v>1</v>
      </c>
    </row>
    <row r="141" spans="1:3">
      <c r="A141" s="1" t="s">
        <v>316</v>
      </c>
      <c r="B141" s="1" t="s">
        <v>621</v>
      </c>
      <c r="C141" t="s">
        <v>316</v>
      </c>
    </row>
    <row r="142" spans="1:3">
      <c r="A142" s="1" t="s">
        <v>3</v>
      </c>
      <c r="B142" s="1" t="s">
        <v>622</v>
      </c>
      <c r="C142" t="s">
        <v>3</v>
      </c>
    </row>
    <row r="143" spans="1:3">
      <c r="A143" s="1" t="s">
        <v>1</v>
      </c>
      <c r="B143" s="1" t="s">
        <v>1</v>
      </c>
      <c r="C143" t="s">
        <v>1</v>
      </c>
    </row>
    <row r="144" spans="1:3">
      <c r="A144" s="1" t="s">
        <v>648</v>
      </c>
      <c r="B144" s="1" t="s">
        <v>316</v>
      </c>
      <c r="C144" t="s">
        <v>648</v>
      </c>
    </row>
    <row r="145" spans="1:3">
      <c r="A145" s="1" t="s">
        <v>567</v>
      </c>
      <c r="B145" s="1" t="s">
        <v>3</v>
      </c>
      <c r="C145" t="s">
        <v>567</v>
      </c>
    </row>
    <row r="146" spans="1:3">
      <c r="A146" s="1" t="s">
        <v>1</v>
      </c>
      <c r="B146" s="1" t="s">
        <v>1</v>
      </c>
      <c r="C146" t="s">
        <v>1</v>
      </c>
    </row>
    <row r="147" spans="1:3">
      <c r="A147" s="1" t="s">
        <v>271</v>
      </c>
      <c r="B147" s="1" t="s">
        <v>648</v>
      </c>
      <c r="C147" t="s">
        <v>271</v>
      </c>
    </row>
    <row r="148" spans="1:3">
      <c r="A148" s="1" t="s">
        <v>317</v>
      </c>
      <c r="B148" s="1" t="s">
        <v>567</v>
      </c>
      <c r="C148" t="s">
        <v>317</v>
      </c>
    </row>
    <row r="149" spans="1:3">
      <c r="A149" s="1" t="s">
        <v>1</v>
      </c>
      <c r="B149" s="1" t="s">
        <v>1</v>
      </c>
      <c r="C149" t="s">
        <v>1</v>
      </c>
    </row>
    <row r="150" spans="1:3">
      <c r="A150" s="1" t="s">
        <v>280</v>
      </c>
      <c r="B150" s="1" t="s">
        <v>271</v>
      </c>
      <c r="C150" t="s">
        <v>280</v>
      </c>
    </row>
    <row r="151" spans="1:3">
      <c r="A151" s="1" t="s">
        <v>318</v>
      </c>
      <c r="B151" s="1" t="s">
        <v>317</v>
      </c>
      <c r="C151" t="s">
        <v>318</v>
      </c>
    </row>
    <row r="152" spans="1:3">
      <c r="A152" s="1" t="s">
        <v>1</v>
      </c>
      <c r="B152" s="1" t="s">
        <v>1</v>
      </c>
      <c r="C152" t="s">
        <v>1</v>
      </c>
    </row>
    <row r="153" spans="1:3">
      <c r="A153" s="1" t="s">
        <v>322</v>
      </c>
      <c r="B153" s="1" t="s">
        <v>280</v>
      </c>
      <c r="C153" t="s">
        <v>322</v>
      </c>
    </row>
    <row r="154" spans="1:3">
      <c r="A154" s="1" t="s">
        <v>478</v>
      </c>
      <c r="B154" s="1" t="s">
        <v>318</v>
      </c>
      <c r="C154" t="s">
        <v>478</v>
      </c>
    </row>
    <row r="155" spans="1:3">
      <c r="A155" s="1" t="s">
        <v>1</v>
      </c>
      <c r="B155" s="1" t="s">
        <v>1</v>
      </c>
      <c r="C155" t="s">
        <v>1</v>
      </c>
    </row>
    <row r="156" spans="1:3">
      <c r="A156" s="1" t="s">
        <v>271</v>
      </c>
      <c r="B156" s="1" t="s">
        <v>322</v>
      </c>
      <c r="C156" t="s">
        <v>271</v>
      </c>
    </row>
    <row r="157" spans="1:3">
      <c r="A157" s="1" t="s">
        <v>319</v>
      </c>
      <c r="B157" s="1" t="s">
        <v>478</v>
      </c>
      <c r="C157" t="s">
        <v>319</v>
      </c>
    </row>
    <row r="158" spans="1:3">
      <c r="A158" s="1" t="s">
        <v>1</v>
      </c>
      <c r="B158" s="1" t="s">
        <v>1</v>
      </c>
      <c r="C158" t="s">
        <v>1</v>
      </c>
    </row>
    <row r="159" spans="1:3">
      <c r="A159" s="1" t="s">
        <v>271</v>
      </c>
      <c r="B159" s="1" t="s">
        <v>271</v>
      </c>
      <c r="C159" t="s">
        <v>271</v>
      </c>
    </row>
    <row r="160" spans="1:3">
      <c r="A160" s="1" t="s">
        <v>320</v>
      </c>
      <c r="B160" s="1" t="s">
        <v>319</v>
      </c>
      <c r="C160" t="s">
        <v>320</v>
      </c>
    </row>
    <row r="161" spans="1:3">
      <c r="A161" s="1" t="s">
        <v>1</v>
      </c>
      <c r="B161" s="1" t="s">
        <v>1</v>
      </c>
      <c r="C161" t="s">
        <v>1</v>
      </c>
    </row>
    <row r="162" spans="1:3">
      <c r="A162" s="1" t="s">
        <v>568</v>
      </c>
      <c r="B162" s="1" t="s">
        <v>271</v>
      </c>
      <c r="C162" t="s">
        <v>568</v>
      </c>
    </row>
    <row r="163" spans="1:3">
      <c r="A163" s="1" t="s">
        <v>569</v>
      </c>
      <c r="B163" s="1" t="s">
        <v>320</v>
      </c>
      <c r="C163" t="s">
        <v>569</v>
      </c>
    </row>
    <row r="164" spans="1:3">
      <c r="A164" s="1" t="s">
        <v>570</v>
      </c>
      <c r="B164" s="1" t="s">
        <v>1</v>
      </c>
      <c r="C164" t="s">
        <v>570</v>
      </c>
    </row>
    <row r="165" spans="1:3">
      <c r="A165" s="1" t="s">
        <v>571</v>
      </c>
      <c r="B165" s="1" t="s">
        <v>568</v>
      </c>
      <c r="C165" t="s">
        <v>571</v>
      </c>
    </row>
    <row r="166" spans="1:3">
      <c r="A166" s="1" t="s">
        <v>623</v>
      </c>
      <c r="B166" s="1" t="s">
        <v>569</v>
      </c>
      <c r="C166" t="s">
        <v>623</v>
      </c>
    </row>
    <row r="167" spans="1:3">
      <c r="A167" s="1" t="s">
        <v>570</v>
      </c>
      <c r="B167" s="1" t="s">
        <v>570</v>
      </c>
      <c r="C167" t="s">
        <v>570</v>
      </c>
    </row>
    <row r="168" spans="1:3">
      <c r="A168" s="1" t="s">
        <v>624</v>
      </c>
      <c r="B168" s="1" t="s">
        <v>571</v>
      </c>
      <c r="C168" t="s">
        <v>624</v>
      </c>
    </row>
    <row r="169" spans="1:3">
      <c r="A169" s="1" t="s">
        <v>574</v>
      </c>
      <c r="B169" s="1" t="s">
        <v>623</v>
      </c>
      <c r="C169" t="s">
        <v>574</v>
      </c>
    </row>
    <row r="170" spans="1:3">
      <c r="A170" s="1" t="s">
        <v>1</v>
      </c>
      <c r="B170" s="1" t="s">
        <v>570</v>
      </c>
      <c r="C170" t="s">
        <v>1</v>
      </c>
    </row>
    <row r="171" spans="1:3">
      <c r="A171" s="1" t="s">
        <v>648</v>
      </c>
      <c r="B171" s="1" t="s">
        <v>624</v>
      </c>
      <c r="C171" t="s">
        <v>648</v>
      </c>
    </row>
    <row r="172" spans="1:3">
      <c r="A172" s="1" t="s">
        <v>575</v>
      </c>
      <c r="B172" s="1" t="s">
        <v>574</v>
      </c>
      <c r="C172" t="s">
        <v>575</v>
      </c>
    </row>
    <row r="173" spans="1:3">
      <c r="A173" s="1" t="s">
        <v>1</v>
      </c>
      <c r="B173" s="1" t="s">
        <v>1</v>
      </c>
      <c r="C173" t="s">
        <v>1</v>
      </c>
    </row>
    <row r="174" spans="1:3">
      <c r="A174" s="1" t="s">
        <v>321</v>
      </c>
      <c r="B174" s="1" t="s">
        <v>648</v>
      </c>
      <c r="C174" t="s">
        <v>321</v>
      </c>
    </row>
    <row r="175" spans="1:3">
      <c r="A175" s="1" t="s">
        <v>4</v>
      </c>
      <c r="B175" s="1" t="s">
        <v>575</v>
      </c>
      <c r="C175" t="s">
        <v>4</v>
      </c>
    </row>
    <row r="176" spans="1:3">
      <c r="A176" s="1" t="s">
        <v>1</v>
      </c>
      <c r="B176" s="1" t="s">
        <v>1</v>
      </c>
      <c r="C176" t="s">
        <v>1</v>
      </c>
    </row>
    <row r="177" spans="1:3">
      <c r="A177" s="1" t="s">
        <v>648</v>
      </c>
      <c r="B177" s="1" t="s">
        <v>321</v>
      </c>
      <c r="C177" t="s">
        <v>648</v>
      </c>
    </row>
    <row r="178" spans="1:3">
      <c r="A178" s="1" t="s">
        <v>5</v>
      </c>
      <c r="B178" s="1" t="s">
        <v>4</v>
      </c>
      <c r="C178" t="s">
        <v>5</v>
      </c>
    </row>
    <row r="179" spans="1:3">
      <c r="A179" s="1" t="s">
        <v>1</v>
      </c>
      <c r="B179" s="1" t="s">
        <v>1</v>
      </c>
      <c r="C179" t="s">
        <v>1</v>
      </c>
    </row>
    <row r="180" spans="1:3">
      <c r="A180" s="1" t="s">
        <v>321</v>
      </c>
      <c r="B180" s="1" t="s">
        <v>648</v>
      </c>
      <c r="C180" t="s">
        <v>321</v>
      </c>
    </row>
    <row r="181" spans="1:3">
      <c r="A181" s="1" t="s">
        <v>323</v>
      </c>
      <c r="B181" s="1" t="s">
        <v>5</v>
      </c>
      <c r="C181" t="s">
        <v>323</v>
      </c>
    </row>
    <row r="182" spans="1:3">
      <c r="A182" s="1" t="s">
        <v>1</v>
      </c>
      <c r="B182" s="1" t="s">
        <v>1</v>
      </c>
      <c r="C182" t="s">
        <v>1</v>
      </c>
    </row>
    <row r="183" spans="1:3">
      <c r="A183" s="1" t="s">
        <v>648</v>
      </c>
      <c r="B183" s="1" t="s">
        <v>321</v>
      </c>
      <c r="C183" t="s">
        <v>648</v>
      </c>
    </row>
    <row r="184" spans="1:3">
      <c r="A184" s="1" t="s">
        <v>6</v>
      </c>
      <c r="B184" s="1" t="s">
        <v>323</v>
      </c>
      <c r="C184" t="s">
        <v>6</v>
      </c>
    </row>
    <row r="185" spans="1:3">
      <c r="A185" s="1" t="s">
        <v>1</v>
      </c>
      <c r="B185" s="1" t="s">
        <v>1</v>
      </c>
      <c r="C185" t="s">
        <v>1</v>
      </c>
    </row>
    <row r="186" spans="1:3">
      <c r="A186" s="1" t="s">
        <v>322</v>
      </c>
      <c r="B186" s="1" t="s">
        <v>648</v>
      </c>
      <c r="C186" t="s">
        <v>322</v>
      </c>
    </row>
    <row r="187" spans="1:3">
      <c r="A187" s="1" t="s">
        <v>324</v>
      </c>
      <c r="B187" s="1" t="s">
        <v>6</v>
      </c>
      <c r="C187" t="s">
        <v>324</v>
      </c>
    </row>
    <row r="188" spans="1:3">
      <c r="A188" s="1" t="s">
        <v>1</v>
      </c>
      <c r="B188" s="1" t="s">
        <v>1</v>
      </c>
      <c r="C188" t="s">
        <v>1</v>
      </c>
    </row>
    <row r="189" spans="1:3">
      <c r="A189" s="1" t="s">
        <v>322</v>
      </c>
      <c r="B189" s="1" t="s">
        <v>322</v>
      </c>
      <c r="C189" t="s">
        <v>322</v>
      </c>
    </row>
    <row r="190" spans="1:3">
      <c r="A190" s="1" t="s">
        <v>487</v>
      </c>
      <c r="B190" s="1" t="s">
        <v>324</v>
      </c>
      <c r="C190" t="s">
        <v>487</v>
      </c>
    </row>
    <row r="191" spans="1:3">
      <c r="A191" s="1" t="s">
        <v>1</v>
      </c>
      <c r="B191" s="1" t="s">
        <v>1</v>
      </c>
      <c r="C191" t="s">
        <v>1</v>
      </c>
    </row>
    <row r="192" spans="1:3">
      <c r="A192" s="1" t="s">
        <v>322</v>
      </c>
      <c r="B192" s="1" t="s">
        <v>322</v>
      </c>
      <c r="C192" t="s">
        <v>322</v>
      </c>
    </row>
    <row r="193" spans="1:3">
      <c r="A193" s="1" t="s">
        <v>488</v>
      </c>
      <c r="B193" s="1" t="s">
        <v>487</v>
      </c>
      <c r="C193" t="s">
        <v>488</v>
      </c>
    </row>
    <row r="194" spans="1:3">
      <c r="A194" s="1" t="s">
        <v>1</v>
      </c>
      <c r="B194" s="1" t="s">
        <v>1</v>
      </c>
      <c r="C194" t="s">
        <v>1</v>
      </c>
    </row>
    <row r="195" spans="1:3">
      <c r="A195" s="1" t="s">
        <v>280</v>
      </c>
      <c r="B195" s="1" t="s">
        <v>322</v>
      </c>
      <c r="C195" t="s">
        <v>280</v>
      </c>
    </row>
    <row r="196" spans="1:3">
      <c r="A196" s="1" t="s">
        <v>325</v>
      </c>
      <c r="B196" s="1" t="s">
        <v>488</v>
      </c>
      <c r="C196" t="s">
        <v>325</v>
      </c>
    </row>
    <row r="197" spans="1:3">
      <c r="A197" s="1" t="s">
        <v>1</v>
      </c>
      <c r="B197" s="1" t="s">
        <v>1</v>
      </c>
      <c r="C197" t="s">
        <v>1</v>
      </c>
    </row>
    <row r="198" spans="1:3">
      <c r="A198" s="1" t="s">
        <v>271</v>
      </c>
      <c r="B198" s="1" t="s">
        <v>280</v>
      </c>
      <c r="C198" t="s">
        <v>271</v>
      </c>
    </row>
    <row r="199" spans="1:3">
      <c r="A199" s="1" t="s">
        <v>326</v>
      </c>
      <c r="B199" s="1" t="s">
        <v>325</v>
      </c>
      <c r="C199" t="s">
        <v>326</v>
      </c>
    </row>
    <row r="200" spans="1:3">
      <c r="A200" s="1" t="s">
        <v>1</v>
      </c>
      <c r="B200" s="1" t="s">
        <v>1</v>
      </c>
      <c r="C200" t="s">
        <v>1</v>
      </c>
    </row>
    <row r="201" spans="1:3">
      <c r="A201" s="1" t="s">
        <v>576</v>
      </c>
      <c r="B201" s="1" t="s">
        <v>271</v>
      </c>
      <c r="C201" t="s">
        <v>576</v>
      </c>
    </row>
    <row r="202" spans="1:3">
      <c r="A202" s="1" t="s">
        <v>577</v>
      </c>
      <c r="B202" s="1" t="s">
        <v>326</v>
      </c>
      <c r="C202" t="s">
        <v>577</v>
      </c>
    </row>
    <row r="203" spans="1:3">
      <c r="A203" s="1" t="s">
        <v>570</v>
      </c>
      <c r="B203" s="1" t="s">
        <v>1</v>
      </c>
      <c r="C203" t="s">
        <v>570</v>
      </c>
    </row>
    <row r="204" spans="1:3">
      <c r="A204" s="1" t="s">
        <v>625</v>
      </c>
      <c r="B204" s="1" t="s">
        <v>576</v>
      </c>
      <c r="C204" t="s">
        <v>625</v>
      </c>
    </row>
    <row r="205" spans="1:3">
      <c r="A205" s="1" t="s">
        <v>537</v>
      </c>
      <c r="B205" s="1" t="s">
        <v>577</v>
      </c>
      <c r="C205" t="s">
        <v>537</v>
      </c>
    </row>
    <row r="206" spans="1:3">
      <c r="A206" s="1" t="s">
        <v>570</v>
      </c>
      <c r="B206" s="1" t="s">
        <v>570</v>
      </c>
      <c r="C206" t="s">
        <v>570</v>
      </c>
    </row>
    <row r="207" spans="1:3">
      <c r="A207" s="1" t="s">
        <v>626</v>
      </c>
      <c r="B207" s="1" t="s">
        <v>625</v>
      </c>
      <c r="C207" t="s">
        <v>626</v>
      </c>
    </row>
    <row r="208" spans="1:3">
      <c r="A208" s="1" t="s">
        <v>537</v>
      </c>
      <c r="B208" s="1" t="s">
        <v>537</v>
      </c>
      <c r="C208" t="s">
        <v>537</v>
      </c>
    </row>
    <row r="209" spans="1:3">
      <c r="A209" s="1" t="s">
        <v>1</v>
      </c>
      <c r="B209" s="1" t="s">
        <v>570</v>
      </c>
      <c r="C209" t="s">
        <v>1</v>
      </c>
    </row>
    <row r="210" spans="1:3">
      <c r="A210" s="1" t="s">
        <v>271</v>
      </c>
      <c r="B210" s="1" t="s">
        <v>626</v>
      </c>
      <c r="C210" t="s">
        <v>271</v>
      </c>
    </row>
    <row r="211" spans="1:3">
      <c r="A211" s="1" t="s">
        <v>327</v>
      </c>
      <c r="B211" s="1" t="s">
        <v>537</v>
      </c>
      <c r="C211" t="s">
        <v>327</v>
      </c>
    </row>
    <row r="212" spans="1:3">
      <c r="A212" s="1" t="s">
        <v>1</v>
      </c>
      <c r="B212" s="1" t="s">
        <v>1</v>
      </c>
      <c r="C212" t="s">
        <v>1</v>
      </c>
    </row>
    <row r="213" spans="1:3">
      <c r="A213" s="1" t="s">
        <v>580</v>
      </c>
      <c r="B213" s="1" t="s">
        <v>271</v>
      </c>
      <c r="C213" t="s">
        <v>580</v>
      </c>
    </row>
    <row r="214" spans="1:3">
      <c r="A214" s="1" t="s">
        <v>537</v>
      </c>
      <c r="B214" s="1" t="s">
        <v>327</v>
      </c>
      <c r="C214" t="s">
        <v>537</v>
      </c>
    </row>
    <row r="215" spans="1:3">
      <c r="A215" s="1" t="s">
        <v>570</v>
      </c>
      <c r="B215" s="1" t="s">
        <v>1</v>
      </c>
      <c r="C215" t="s">
        <v>570</v>
      </c>
    </row>
    <row r="216" spans="1:3">
      <c r="A216" s="1" t="s">
        <v>627</v>
      </c>
      <c r="B216" s="1" t="s">
        <v>580</v>
      </c>
      <c r="C216" t="s">
        <v>627</v>
      </c>
    </row>
    <row r="217" spans="1:3">
      <c r="A217" s="1" t="s">
        <v>611</v>
      </c>
      <c r="B217" s="1" t="s">
        <v>537</v>
      </c>
      <c r="C217" t="s">
        <v>611</v>
      </c>
    </row>
    <row r="218" spans="1:3">
      <c r="A218" s="1" t="s">
        <v>1</v>
      </c>
      <c r="B218" s="1" t="s">
        <v>570</v>
      </c>
      <c r="C218" t="s">
        <v>1</v>
      </c>
    </row>
    <row r="219" spans="1:3">
      <c r="A219" s="1" t="s">
        <v>321</v>
      </c>
      <c r="B219" s="1" t="s">
        <v>627</v>
      </c>
      <c r="C219" t="s">
        <v>321</v>
      </c>
    </row>
    <row r="220" spans="1:3">
      <c r="A220" s="1" t="s">
        <v>7</v>
      </c>
      <c r="B220" s="1" t="s">
        <v>611</v>
      </c>
      <c r="C220" t="s">
        <v>7</v>
      </c>
    </row>
    <row r="221" spans="1:3">
      <c r="A221" s="1" t="s">
        <v>1</v>
      </c>
      <c r="B221" s="1" t="s">
        <v>1</v>
      </c>
      <c r="C221" t="s">
        <v>1</v>
      </c>
    </row>
    <row r="222" spans="1:3">
      <c r="A222" s="1" t="s">
        <v>322</v>
      </c>
      <c r="B222" s="1" t="s">
        <v>321</v>
      </c>
      <c r="C222" t="s">
        <v>322</v>
      </c>
    </row>
    <row r="223" spans="1:3">
      <c r="A223" s="1" t="s">
        <v>328</v>
      </c>
      <c r="B223" s="1" t="s">
        <v>7</v>
      </c>
      <c r="C223" t="s">
        <v>328</v>
      </c>
    </row>
    <row r="224" spans="1:3">
      <c r="A224" s="1" t="s">
        <v>1</v>
      </c>
      <c r="B224" s="1" t="s">
        <v>1</v>
      </c>
      <c r="C224" t="s">
        <v>1</v>
      </c>
    </row>
    <row r="225" spans="1:3">
      <c r="A225" s="1" t="s">
        <v>271</v>
      </c>
      <c r="B225" s="1" t="s">
        <v>322</v>
      </c>
      <c r="C225" t="s">
        <v>271</v>
      </c>
    </row>
    <row r="226" spans="1:3">
      <c r="A226" s="1" t="s">
        <v>329</v>
      </c>
      <c r="B226" s="1" t="s">
        <v>328</v>
      </c>
      <c r="C226" t="s">
        <v>329</v>
      </c>
    </row>
    <row r="227" spans="1:3">
      <c r="A227" s="1" t="s">
        <v>1</v>
      </c>
      <c r="B227" s="1" t="s">
        <v>1</v>
      </c>
      <c r="C227" t="s">
        <v>1</v>
      </c>
    </row>
    <row r="228" spans="1:3">
      <c r="A228" s="1" t="s">
        <v>582</v>
      </c>
      <c r="B228" s="1" t="s">
        <v>271</v>
      </c>
      <c r="C228" t="s">
        <v>582</v>
      </c>
    </row>
    <row r="229" spans="1:3">
      <c r="A229" s="1" t="s">
        <v>550</v>
      </c>
      <c r="B229" s="1" t="s">
        <v>329</v>
      </c>
      <c r="C229" t="s">
        <v>550</v>
      </c>
    </row>
    <row r="230" spans="1:3">
      <c r="A230" s="1" t="s">
        <v>570</v>
      </c>
      <c r="B230" s="1" t="s">
        <v>1</v>
      </c>
      <c r="C230" t="s">
        <v>570</v>
      </c>
    </row>
    <row r="231" spans="1:3">
      <c r="A231" s="1" t="s">
        <v>628</v>
      </c>
      <c r="B231" s="1" t="s">
        <v>582</v>
      </c>
      <c r="C231" t="s">
        <v>628</v>
      </c>
    </row>
    <row r="232" spans="1:3">
      <c r="A232" s="1" t="s">
        <v>611</v>
      </c>
      <c r="B232" s="1" t="s">
        <v>550</v>
      </c>
      <c r="C232" t="s">
        <v>611</v>
      </c>
    </row>
    <row r="233" spans="1:3">
      <c r="A233" s="1" t="s">
        <v>1</v>
      </c>
      <c r="B233" s="1" t="s">
        <v>570</v>
      </c>
      <c r="C233" t="s">
        <v>1</v>
      </c>
    </row>
    <row r="234" spans="1:3">
      <c r="A234" s="1" t="s">
        <v>271</v>
      </c>
      <c r="B234" s="1" t="s">
        <v>628</v>
      </c>
      <c r="C234" t="s">
        <v>271</v>
      </c>
    </row>
    <row r="235" spans="1:3">
      <c r="A235" s="1" t="s">
        <v>330</v>
      </c>
      <c r="B235" s="1" t="s">
        <v>611</v>
      </c>
      <c r="C235" t="s">
        <v>330</v>
      </c>
    </row>
    <row r="236" spans="1:3">
      <c r="A236" s="1" t="s">
        <v>1</v>
      </c>
      <c r="B236" s="1" t="s">
        <v>1</v>
      </c>
      <c r="C236" t="s">
        <v>1</v>
      </c>
    </row>
    <row r="237" spans="1:3">
      <c r="A237" s="1" t="s">
        <v>322</v>
      </c>
      <c r="B237" s="1" t="s">
        <v>271</v>
      </c>
      <c r="C237" t="s">
        <v>322</v>
      </c>
    </row>
    <row r="238" spans="1:3">
      <c r="A238" s="1" t="s">
        <v>9</v>
      </c>
      <c r="B238" s="1" t="s">
        <v>330</v>
      </c>
      <c r="C238" t="s">
        <v>9</v>
      </c>
    </row>
    <row r="239" spans="1:3">
      <c r="A239" s="1" t="s">
        <v>1</v>
      </c>
      <c r="B239" s="1" t="s">
        <v>1</v>
      </c>
      <c r="C239" t="s">
        <v>1</v>
      </c>
    </row>
    <row r="240" spans="1:3">
      <c r="A240" s="1" t="s">
        <v>271</v>
      </c>
      <c r="B240" s="1" t="s">
        <v>322</v>
      </c>
      <c r="C240" t="s">
        <v>271</v>
      </c>
    </row>
    <row r="241" spans="1:3">
      <c r="A241" s="1" t="s">
        <v>331</v>
      </c>
      <c r="B241" s="1" t="s">
        <v>9</v>
      </c>
      <c r="C241" t="s">
        <v>331</v>
      </c>
    </row>
    <row r="242" spans="1:3">
      <c r="A242" s="1" t="s">
        <v>1</v>
      </c>
      <c r="B242" s="1" t="s">
        <v>1</v>
      </c>
      <c r="C242" t="s">
        <v>1</v>
      </c>
    </row>
    <row r="243" spans="1:3">
      <c r="A243" s="1" t="s">
        <v>584</v>
      </c>
      <c r="B243" s="1" t="s">
        <v>271</v>
      </c>
      <c r="C243" t="s">
        <v>584</v>
      </c>
    </row>
    <row r="244" spans="1:3">
      <c r="A244" s="1" t="s">
        <v>577</v>
      </c>
      <c r="B244" s="1" t="s">
        <v>331</v>
      </c>
      <c r="C244" t="s">
        <v>577</v>
      </c>
    </row>
    <row r="245" spans="1:3">
      <c r="A245" s="1" t="s">
        <v>570</v>
      </c>
      <c r="B245" s="1" t="s">
        <v>1</v>
      </c>
      <c r="C245" t="s">
        <v>570</v>
      </c>
    </row>
    <row r="246" spans="1:3">
      <c r="A246" s="1" t="s">
        <v>629</v>
      </c>
      <c r="B246" s="1" t="s">
        <v>584</v>
      </c>
      <c r="C246" t="s">
        <v>629</v>
      </c>
    </row>
    <row r="247" spans="1:3">
      <c r="A247" s="1" t="s">
        <v>550</v>
      </c>
      <c r="B247" s="1" t="s">
        <v>577</v>
      </c>
      <c r="C247" t="s">
        <v>550</v>
      </c>
    </row>
    <row r="248" spans="1:3">
      <c r="A248" s="1" t="s">
        <v>570</v>
      </c>
      <c r="B248" s="1" t="s">
        <v>570</v>
      </c>
      <c r="C248" t="s">
        <v>570</v>
      </c>
    </row>
    <row r="249" spans="1:3">
      <c r="A249" s="1" t="s">
        <v>630</v>
      </c>
      <c r="B249" s="1" t="s">
        <v>629</v>
      </c>
      <c r="C249" t="s">
        <v>630</v>
      </c>
    </row>
    <row r="250" spans="1:3">
      <c r="A250" s="1" t="s">
        <v>537</v>
      </c>
      <c r="B250" s="1" t="s">
        <v>550</v>
      </c>
      <c r="C250" t="s">
        <v>537</v>
      </c>
    </row>
    <row r="251" spans="1:3">
      <c r="A251" s="1" t="s">
        <v>1</v>
      </c>
      <c r="B251" s="1" t="s">
        <v>570</v>
      </c>
      <c r="C251" t="s">
        <v>1</v>
      </c>
    </row>
    <row r="252" spans="1:3">
      <c r="A252" s="1" t="s">
        <v>280</v>
      </c>
      <c r="B252" s="1" t="s">
        <v>630</v>
      </c>
      <c r="C252" t="s">
        <v>280</v>
      </c>
    </row>
    <row r="253" spans="1:3">
      <c r="A253" s="1" t="s">
        <v>332</v>
      </c>
      <c r="B253" s="1" t="s">
        <v>537</v>
      </c>
      <c r="C253" t="s">
        <v>332</v>
      </c>
    </row>
    <row r="254" spans="1:3">
      <c r="A254" s="1" t="s">
        <v>1</v>
      </c>
      <c r="B254" s="1" t="s">
        <v>1</v>
      </c>
      <c r="C254" t="s">
        <v>1</v>
      </c>
    </row>
    <row r="255" spans="1:3">
      <c r="A255" s="1" t="s">
        <v>335</v>
      </c>
      <c r="B255" s="1" t="s">
        <v>280</v>
      </c>
      <c r="C255" t="s">
        <v>335</v>
      </c>
    </row>
    <row r="256" spans="1:3">
      <c r="A256" s="1" t="s">
        <v>336</v>
      </c>
      <c r="B256" s="1" t="s">
        <v>332</v>
      </c>
      <c r="C256" t="s">
        <v>336</v>
      </c>
    </row>
    <row r="257" spans="1:3">
      <c r="A257" s="1"/>
      <c r="B257" s="1" t="s">
        <v>1</v>
      </c>
      <c r="C257" t="s">
        <v>1</v>
      </c>
    </row>
    <row r="258" spans="1:3">
      <c r="A258" s="1"/>
      <c r="B258" s="1" t="s">
        <v>335</v>
      </c>
    </row>
    <row r="259" spans="1:3">
      <c r="A259" s="1"/>
      <c r="B259" s="1" t="s">
        <v>336</v>
      </c>
    </row>
    <row r="260" spans="1:3">
      <c r="A260" s="1"/>
      <c r="B260" s="1"/>
    </row>
    <row r="261" spans="1:3">
      <c r="A261" s="1"/>
      <c r="B261" s="1"/>
    </row>
    <row r="262" spans="1:3">
      <c r="A262" s="1"/>
      <c r="B262" s="1"/>
    </row>
    <row r="263" spans="1:3">
      <c r="A263" s="1"/>
      <c r="B263" s="1"/>
    </row>
    <row r="264" spans="1:3">
      <c r="A264" s="1"/>
      <c r="B264" s="1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A1:O24"/>
  <sheetViews>
    <sheetView workbookViewId="0">
      <selection activeCell="A5" sqref="A5:A6"/>
    </sheetView>
  </sheetViews>
  <sheetFormatPr defaultRowHeight="15"/>
  <cols>
    <col min="1" max="1" width="6.5703125" style="269" customWidth="1"/>
    <col min="2" max="2" width="7.7109375" style="270" customWidth="1"/>
    <col min="3" max="3" width="19" style="270" customWidth="1"/>
    <col min="4" max="6" width="7.7109375" style="270" customWidth="1"/>
    <col min="7" max="16384" width="9.140625" style="270"/>
  </cols>
  <sheetData>
    <row r="1" spans="1:15" s="293" customFormat="1" ht="21.75" thickBot="1">
      <c r="A1" s="329"/>
      <c r="C1" s="322" t="str">
        <f>'Сведения о преступности'!P2</f>
        <v>Красноярский край</v>
      </c>
      <c r="D1" s="322"/>
      <c r="E1" s="322"/>
      <c r="F1" s="322"/>
      <c r="G1" s="293" t="str">
        <f>'Сведения о преступности'!E3</f>
        <v xml:space="preserve"> январь 2018/2019</v>
      </c>
      <c r="N1" s="293">
        <f>'Сведения о преступности'!Q2</f>
        <v>400</v>
      </c>
      <c r="O1" s="293">
        <f>Раскрываемость!Q2</f>
        <v>400</v>
      </c>
    </row>
    <row r="2" spans="1:15" ht="112.5" customHeight="1" thickBot="1">
      <c r="A2" s="399"/>
      <c r="B2" s="400"/>
      <c r="C2" s="401"/>
      <c r="D2" s="288" t="s">
        <v>21</v>
      </c>
      <c r="E2" s="288" t="s">
        <v>1226</v>
      </c>
      <c r="F2" s="289" t="s">
        <v>373</v>
      </c>
      <c r="G2" s="289" t="s">
        <v>1227</v>
      </c>
      <c r="H2" s="289" t="s">
        <v>375</v>
      </c>
      <c r="I2" s="289" t="s">
        <v>376</v>
      </c>
      <c r="J2" s="290" t="s">
        <v>345</v>
      </c>
    </row>
    <row r="3" spans="1:15" ht="28.5" customHeight="1">
      <c r="A3" s="388" t="s">
        <v>15</v>
      </c>
      <c r="B3" s="392" t="s">
        <v>13</v>
      </c>
      <c r="C3" s="392"/>
      <c r="D3" s="285">
        <f ca="1">'Сведения о преступности'!L6</f>
        <v>3565</v>
      </c>
      <c r="E3" s="285">
        <f ca="1">'Сведения о преступности'!L7</f>
        <v>685</v>
      </c>
      <c r="F3" s="285">
        <f ca="1">'Сведения о преступности'!L9</f>
        <v>27</v>
      </c>
      <c r="G3" s="285">
        <f ca="1">'Сведения о преступности'!L10</f>
        <v>66</v>
      </c>
      <c r="H3" s="285"/>
      <c r="I3" s="285"/>
      <c r="J3" s="286"/>
    </row>
    <row r="4" spans="1:15" ht="28.5" customHeight="1">
      <c r="A4" s="389"/>
      <c r="B4" s="393" t="s">
        <v>201</v>
      </c>
      <c r="C4" s="393"/>
      <c r="D4" s="272">
        <f ca="1">'Сведения о преступности'!N6</f>
        <v>1.1634506242905758</v>
      </c>
      <c r="E4" s="272">
        <f ca="1">'Сведения о преступности'!N7</f>
        <v>-2.9745042492917833</v>
      </c>
      <c r="F4" s="272">
        <f ca="1">'Сведения о преступности'!N9</f>
        <v>22.727272727272734</v>
      </c>
      <c r="G4" s="272">
        <f ca="1">'Сведения о преступности'!N10</f>
        <v>-10.810810810810807</v>
      </c>
      <c r="H4" s="272"/>
      <c r="I4" s="272"/>
      <c r="J4" s="277"/>
    </row>
    <row r="5" spans="1:15" ht="28.5" customHeight="1">
      <c r="A5" s="389" t="s">
        <v>1228</v>
      </c>
      <c r="B5" s="393" t="s">
        <v>13</v>
      </c>
      <c r="C5" s="393"/>
      <c r="D5" s="271">
        <f ca="1">Раскрываемость!C7</f>
        <v>1790</v>
      </c>
      <c r="E5" s="271">
        <f ca="1">Раскрываемость!C8</f>
        <v>309</v>
      </c>
      <c r="F5" s="271">
        <f ca="1">Раскрываемость!C9</f>
        <v>19</v>
      </c>
      <c r="G5" s="271">
        <f ca="1">Раскрываемость!C10</f>
        <v>45</v>
      </c>
      <c r="H5" s="271"/>
      <c r="I5" s="271"/>
      <c r="J5" s="287"/>
    </row>
    <row r="6" spans="1:15" ht="28.5" customHeight="1">
      <c r="A6" s="389"/>
      <c r="B6" s="393" t="s">
        <v>201</v>
      </c>
      <c r="C6" s="393"/>
      <c r="D6" s="272">
        <f ca="1">Раскрываемость!E7</f>
        <v>-5.0901378579003183</v>
      </c>
      <c r="E6" s="272">
        <f ca="1">Раскрываемость!E8</f>
        <v>-28.472222222222221</v>
      </c>
      <c r="F6" s="272">
        <f ca="1">Раскрываемость!E9</f>
        <v>5.5555555555555554</v>
      </c>
      <c r="G6" s="272">
        <f ca="1">Раскрываемость!E10</f>
        <v>-27.419354838709676</v>
      </c>
      <c r="H6" s="272"/>
      <c r="I6" s="272"/>
      <c r="J6" s="277"/>
    </row>
    <row r="7" spans="1:15" ht="28.5" customHeight="1">
      <c r="A7" s="397" t="s">
        <v>203</v>
      </c>
      <c r="B7" s="393"/>
      <c r="C7" s="393"/>
      <c r="D7" s="272">
        <f ca="1">Раскрываемость!K7</f>
        <v>55.178791615289768</v>
      </c>
      <c r="E7" s="272">
        <f ca="1">Раскрываемость!K8</f>
        <v>50.4</v>
      </c>
      <c r="F7" s="272">
        <f ca="1">Раскрываемость!K9</f>
        <v>95</v>
      </c>
      <c r="G7" s="272">
        <f ca="1">Раскрываемость!K10</f>
        <v>83.333333333333343</v>
      </c>
      <c r="H7" s="272"/>
      <c r="I7" s="272"/>
      <c r="J7" s="277"/>
    </row>
    <row r="8" spans="1:15" ht="28.5" customHeight="1" thickBot="1">
      <c r="A8" s="398" t="s">
        <v>201</v>
      </c>
      <c r="B8" s="396"/>
      <c r="C8" s="396"/>
      <c r="D8" s="278">
        <f ca="1">Раскрываемость!L7</f>
        <v>1.2005431894168481</v>
      </c>
      <c r="E8" s="278">
        <f ca="1">Раскрываемость!L8</f>
        <v>-11.100000000000001</v>
      </c>
      <c r="F8" s="278">
        <f ca="1">Раскрываемость!L9</f>
        <v>-5</v>
      </c>
      <c r="G8" s="278">
        <f ca="1">Раскрываемость!L10</f>
        <v>-12.051282051282044</v>
      </c>
      <c r="H8" s="278"/>
      <c r="I8" s="278"/>
      <c r="J8" s="279"/>
    </row>
    <row r="9" spans="1:15" ht="28.5" customHeight="1">
      <c r="A9" s="388" t="s">
        <v>367</v>
      </c>
      <c r="B9" s="391" t="s">
        <v>15</v>
      </c>
      <c r="C9" s="392"/>
      <c r="D9" s="274">
        <f ca="1">'Сведения о преступности'!L36</f>
        <v>1125</v>
      </c>
      <c r="E9" s="275"/>
      <c r="F9" s="275"/>
      <c r="G9" s="275"/>
      <c r="H9" s="275"/>
      <c r="I9" s="275"/>
      <c r="J9" s="276"/>
    </row>
    <row r="10" spans="1:15" ht="28.5" customHeight="1">
      <c r="A10" s="389"/>
      <c r="B10" s="393" t="s">
        <v>201</v>
      </c>
      <c r="C10" s="393"/>
      <c r="D10" s="272">
        <f ca="1">'Сведения о преступности'!N36</f>
        <v>-0.26595744680849975</v>
      </c>
      <c r="E10" s="272"/>
      <c r="F10" s="272"/>
      <c r="G10" s="272"/>
      <c r="H10" s="272"/>
      <c r="I10" s="272"/>
      <c r="J10" s="277"/>
    </row>
    <row r="11" spans="1:15" ht="28.5" customHeight="1">
      <c r="A11" s="389"/>
      <c r="B11" s="394" t="s">
        <v>1229</v>
      </c>
      <c r="C11" s="393"/>
      <c r="D11" s="272"/>
      <c r="E11" s="272"/>
      <c r="F11" s="272"/>
      <c r="G11" s="272"/>
      <c r="H11" s="272"/>
      <c r="I11" s="272"/>
      <c r="J11" s="277"/>
    </row>
    <row r="12" spans="1:15" ht="28.5" customHeight="1" thickBot="1">
      <c r="A12" s="390"/>
      <c r="B12" s="395" t="s">
        <v>1230</v>
      </c>
      <c r="C12" s="396"/>
      <c r="D12" s="291">
        <f>VLOOKUP(N1,ОМ!A:C,3,FALSE)</f>
        <v>1388</v>
      </c>
      <c r="E12" s="306" t="s">
        <v>123</v>
      </c>
      <c r="F12" s="291">
        <f>VLOOKUP(N1,ОМ!D:F,3,FALSE)</f>
        <v>5</v>
      </c>
      <c r="G12" s="291">
        <f>VLOOKUP(N1,ОМ!G:I,3,FALSE)</f>
        <v>26</v>
      </c>
      <c r="H12" s="291">
        <f>VLOOKUP(N1,ОМ!J:L,3,FALSE)</f>
        <v>17</v>
      </c>
      <c r="I12" s="291">
        <f>VLOOKUP(N1,ОМ!M:O,3,FALSE)</f>
        <v>37</v>
      </c>
      <c r="J12" s="292">
        <f>VLOOKUP(N1,ОМ!P:R,3,FALSE)</f>
        <v>391</v>
      </c>
    </row>
    <row r="13" spans="1:15" ht="28.5" customHeight="1">
      <c r="A13" s="388" t="s">
        <v>1231</v>
      </c>
      <c r="B13" s="391" t="s">
        <v>15</v>
      </c>
      <c r="C13" s="392"/>
      <c r="D13" s="275"/>
      <c r="E13" s="275"/>
      <c r="F13" s="275"/>
      <c r="G13" s="275"/>
      <c r="H13" s="275"/>
      <c r="I13" s="275"/>
      <c r="J13" s="276"/>
    </row>
    <row r="14" spans="1:15" ht="28.5" customHeight="1">
      <c r="A14" s="389"/>
      <c r="B14" s="393" t="s">
        <v>201</v>
      </c>
      <c r="C14" s="393"/>
      <c r="D14" s="272"/>
      <c r="E14" s="272"/>
      <c r="F14" s="272"/>
      <c r="G14" s="272"/>
      <c r="H14" s="272"/>
      <c r="I14" s="272"/>
      <c r="J14" s="277"/>
    </row>
    <row r="15" spans="1:15" ht="28.5" customHeight="1">
      <c r="A15" s="389"/>
      <c r="B15" s="394" t="s">
        <v>1229</v>
      </c>
      <c r="C15" s="393"/>
      <c r="D15" s="272"/>
      <c r="E15" s="272"/>
      <c r="F15" s="272"/>
      <c r="G15" s="272"/>
      <c r="H15" s="272"/>
      <c r="I15" s="272"/>
      <c r="J15" s="277"/>
    </row>
    <row r="16" spans="1:15" ht="28.5" customHeight="1" thickBot="1">
      <c r="A16" s="390"/>
      <c r="B16" s="395" t="s">
        <v>1230</v>
      </c>
      <c r="C16" s="396"/>
      <c r="D16" s="291">
        <f>VLOOKUP(N1,АО!A:C,3,FALSE)</f>
        <v>576</v>
      </c>
      <c r="E16" s="306" t="s">
        <v>123</v>
      </c>
      <c r="F16" s="291">
        <f>VLOOKUP(N1,АО!D:F,3,FALSE)</f>
        <v>3</v>
      </c>
      <c r="G16" s="291">
        <f>VLOOKUP(N1,АО!G:I,3,FALSE)</f>
        <v>15</v>
      </c>
      <c r="H16" s="291">
        <f>VLOOKUP(N1,АО!J:L,3,FALSE)</f>
        <v>0</v>
      </c>
      <c r="I16" s="291">
        <f>VLOOKUP(N1,АО!M:O,3,FALSE)</f>
        <v>7</v>
      </c>
      <c r="J16" s="292">
        <f>VLOOKUP(N1,АО!P:R,3,FALSE)</f>
        <v>103</v>
      </c>
    </row>
    <row r="17" spans="1:10" ht="28.5" customHeight="1">
      <c r="A17" s="388" t="s">
        <v>1232</v>
      </c>
      <c r="B17" s="391" t="s">
        <v>15</v>
      </c>
      <c r="C17" s="392"/>
      <c r="D17" s="275"/>
      <c r="E17" s="275"/>
      <c r="F17" s="275"/>
      <c r="G17" s="275"/>
      <c r="H17" s="275"/>
      <c r="I17" s="275"/>
      <c r="J17" s="276"/>
    </row>
    <row r="18" spans="1:10" ht="28.5" customHeight="1">
      <c r="A18" s="389"/>
      <c r="B18" s="393" t="s">
        <v>201</v>
      </c>
      <c r="C18" s="393"/>
      <c r="D18" s="272"/>
      <c r="E18" s="272"/>
      <c r="F18" s="272"/>
      <c r="G18" s="272"/>
      <c r="H18" s="272"/>
      <c r="I18" s="272"/>
      <c r="J18" s="277"/>
    </row>
    <row r="19" spans="1:10" ht="28.5" customHeight="1">
      <c r="A19" s="389"/>
      <c r="B19" s="394" t="s">
        <v>1229</v>
      </c>
      <c r="C19" s="393"/>
      <c r="D19" s="272"/>
      <c r="E19" s="272"/>
      <c r="F19" s="272"/>
      <c r="G19" s="272"/>
      <c r="H19" s="272"/>
      <c r="I19" s="272"/>
      <c r="J19" s="277"/>
    </row>
    <row r="20" spans="1:10" ht="28.5" customHeight="1" thickBot="1">
      <c r="A20" s="390"/>
      <c r="B20" s="395" t="s">
        <v>1230</v>
      </c>
      <c r="C20" s="396"/>
      <c r="D20" s="278"/>
      <c r="E20" s="278"/>
      <c r="F20" s="278"/>
      <c r="G20" s="278"/>
      <c r="H20" s="278"/>
      <c r="I20" s="278"/>
      <c r="J20" s="279"/>
    </row>
    <row r="21" spans="1:10" ht="28.5" customHeight="1">
      <c r="A21" s="388" t="s">
        <v>1233</v>
      </c>
      <c r="B21" s="391" t="s">
        <v>15</v>
      </c>
      <c r="C21" s="392"/>
      <c r="D21" s="280"/>
      <c r="E21" s="280"/>
      <c r="F21" s="280"/>
      <c r="G21" s="280"/>
      <c r="H21" s="280"/>
      <c r="I21" s="280"/>
      <c r="J21" s="281"/>
    </row>
    <row r="22" spans="1:10" ht="28.5" customHeight="1">
      <c r="A22" s="389"/>
      <c r="B22" s="393" t="s">
        <v>201</v>
      </c>
      <c r="C22" s="393"/>
      <c r="D22" s="273"/>
      <c r="E22" s="273"/>
      <c r="F22" s="273"/>
      <c r="G22" s="273"/>
      <c r="H22" s="273"/>
      <c r="I22" s="273"/>
      <c r="J22" s="282"/>
    </row>
    <row r="23" spans="1:10" ht="28.5" customHeight="1">
      <c r="A23" s="389"/>
      <c r="B23" s="394" t="s">
        <v>1229</v>
      </c>
      <c r="C23" s="393"/>
      <c r="D23" s="273"/>
      <c r="E23" s="273"/>
      <c r="F23" s="273"/>
      <c r="G23" s="273"/>
      <c r="H23" s="273"/>
      <c r="I23" s="273"/>
      <c r="J23" s="282"/>
    </row>
    <row r="24" spans="1:10" ht="28.5" customHeight="1" thickBot="1">
      <c r="A24" s="390"/>
      <c r="B24" s="395" t="s">
        <v>1230</v>
      </c>
      <c r="C24" s="396"/>
      <c r="D24" s="283"/>
      <c r="E24" s="283"/>
      <c r="F24" s="283"/>
      <c r="G24" s="283"/>
      <c r="H24" s="283"/>
      <c r="I24" s="283"/>
      <c r="J24" s="284"/>
    </row>
  </sheetData>
  <mergeCells count="29">
    <mergeCell ref="A7:C7"/>
    <mergeCell ref="A8:C8"/>
    <mergeCell ref="A2:C2"/>
    <mergeCell ref="A3:A4"/>
    <mergeCell ref="B3:C3"/>
    <mergeCell ref="B4:C4"/>
    <mergeCell ref="A5:A6"/>
    <mergeCell ref="B5:C5"/>
    <mergeCell ref="B6:C6"/>
    <mergeCell ref="A13:A16"/>
    <mergeCell ref="B13:C13"/>
    <mergeCell ref="B14:C14"/>
    <mergeCell ref="B15:C15"/>
    <mergeCell ref="B16:C16"/>
    <mergeCell ref="B9:C9"/>
    <mergeCell ref="B10:C10"/>
    <mergeCell ref="B11:C11"/>
    <mergeCell ref="B12:C12"/>
    <mergeCell ref="A9:A12"/>
    <mergeCell ref="A21:A24"/>
    <mergeCell ref="B21:C21"/>
    <mergeCell ref="B22:C22"/>
    <mergeCell ref="B23:C23"/>
    <mergeCell ref="B24:C24"/>
    <mergeCell ref="A17:A20"/>
    <mergeCell ref="B17:C17"/>
    <mergeCell ref="B18:C18"/>
    <mergeCell ref="B19:C19"/>
    <mergeCell ref="B20:C20"/>
  </mergeCells>
  <pageMargins left="0.57999999999999996" right="0.31496062992125984" top="0.42" bottom="0.74803149606299213" header="0.31496062992125984" footer="0.31496062992125984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R62"/>
  <sheetViews>
    <sheetView workbookViewId="0">
      <selection activeCell="P8" sqref="P8"/>
    </sheetView>
  </sheetViews>
  <sheetFormatPr defaultRowHeight="15"/>
  <sheetData>
    <row r="1" spans="1:18" ht="18">
      <c r="A1" s="403" t="s">
        <v>1276</v>
      </c>
      <c r="B1" s="403"/>
      <c r="C1" s="403"/>
      <c r="D1" s="404" t="s">
        <v>1277</v>
      </c>
      <c r="E1" s="404"/>
      <c r="F1" s="404"/>
      <c r="G1" s="405">
        <v>111</v>
      </c>
      <c r="H1" s="405"/>
      <c r="I1" s="405"/>
      <c r="J1" s="406">
        <v>162</v>
      </c>
      <c r="K1" s="406"/>
      <c r="L1" s="406"/>
      <c r="M1" s="407">
        <v>161</v>
      </c>
      <c r="N1" s="407"/>
      <c r="O1" s="407"/>
      <c r="P1" s="402">
        <v>158</v>
      </c>
      <c r="Q1" s="402"/>
      <c r="R1" s="402"/>
    </row>
    <row r="2" spans="1:18" ht="18">
      <c r="A2" s="294">
        <v>400</v>
      </c>
      <c r="B2" s="295" t="s">
        <v>1234</v>
      </c>
      <c r="C2" s="294">
        <v>1388</v>
      </c>
      <c r="D2" s="297">
        <v>400</v>
      </c>
      <c r="E2" s="298" t="s">
        <v>1234</v>
      </c>
      <c r="F2" s="297">
        <v>5</v>
      </c>
      <c r="G2" s="300">
        <v>400</v>
      </c>
      <c r="H2" s="301" t="s">
        <v>1234</v>
      </c>
      <c r="I2" s="300">
        <v>26</v>
      </c>
      <c r="J2" s="303">
        <v>400</v>
      </c>
      <c r="K2" s="304" t="s">
        <v>1234</v>
      </c>
      <c r="L2" s="303">
        <v>17</v>
      </c>
      <c r="M2" s="307">
        <v>400</v>
      </c>
      <c r="N2" s="308" t="s">
        <v>1234</v>
      </c>
      <c r="O2" s="307">
        <v>37</v>
      </c>
      <c r="P2" s="310">
        <v>400</v>
      </c>
      <c r="Q2" s="311" t="s">
        <v>1234</v>
      </c>
      <c r="R2" s="310">
        <v>391</v>
      </c>
    </row>
    <row r="3" spans="1:18" ht="18">
      <c r="A3" s="294">
        <v>101</v>
      </c>
      <c r="B3" s="295" t="s">
        <v>384</v>
      </c>
      <c r="C3" s="294">
        <f>86+23</f>
        <v>109</v>
      </c>
      <c r="D3" s="297">
        <v>101</v>
      </c>
      <c r="E3" s="298" t="s">
        <v>384</v>
      </c>
      <c r="F3" s="297">
        <v>0</v>
      </c>
      <c r="G3" s="300">
        <v>101</v>
      </c>
      <c r="H3" s="301" t="s">
        <v>384</v>
      </c>
      <c r="I3" s="300">
        <v>0</v>
      </c>
      <c r="J3" s="303">
        <v>101</v>
      </c>
      <c r="K3" s="304" t="s">
        <v>384</v>
      </c>
      <c r="L3" s="303">
        <v>1</v>
      </c>
      <c r="M3" s="307">
        <v>101</v>
      </c>
      <c r="N3" s="308" t="s">
        <v>384</v>
      </c>
      <c r="O3" s="307">
        <v>4</v>
      </c>
      <c r="P3" s="310">
        <v>101</v>
      </c>
      <c r="Q3" s="311" t="s">
        <v>384</v>
      </c>
      <c r="R3" s="310">
        <v>14</v>
      </c>
    </row>
    <row r="4" spans="1:18" ht="18">
      <c r="A4" s="294">
        <v>102</v>
      </c>
      <c r="B4" s="295" t="s">
        <v>385</v>
      </c>
      <c r="C4" s="294">
        <v>209</v>
      </c>
      <c r="D4" s="297">
        <v>102</v>
      </c>
      <c r="E4" s="298" t="s">
        <v>385</v>
      </c>
      <c r="F4" s="297">
        <v>0</v>
      </c>
      <c r="G4" s="300">
        <v>102</v>
      </c>
      <c r="H4" s="301" t="s">
        <v>385</v>
      </c>
      <c r="I4" s="300">
        <v>1</v>
      </c>
      <c r="J4" s="303">
        <v>102</v>
      </c>
      <c r="K4" s="304" t="s">
        <v>385</v>
      </c>
      <c r="L4" s="303">
        <v>2</v>
      </c>
      <c r="M4" s="307">
        <v>102</v>
      </c>
      <c r="N4" s="308" t="s">
        <v>385</v>
      </c>
      <c r="O4" s="307">
        <v>1</v>
      </c>
      <c r="P4" s="310">
        <v>102</v>
      </c>
      <c r="Q4" s="311" t="s">
        <v>385</v>
      </c>
      <c r="R4" s="310">
        <v>12</v>
      </c>
    </row>
    <row r="5" spans="1:18" ht="18">
      <c r="A5" s="294">
        <v>103</v>
      </c>
      <c r="B5" s="295" t="s">
        <v>386</v>
      </c>
      <c r="C5" s="294">
        <v>76</v>
      </c>
      <c r="D5" s="297">
        <v>103</v>
      </c>
      <c r="E5" s="298" t="s">
        <v>386</v>
      </c>
      <c r="F5" s="297">
        <v>0</v>
      </c>
      <c r="G5" s="300">
        <v>103</v>
      </c>
      <c r="H5" s="301" t="s">
        <v>386</v>
      </c>
      <c r="I5" s="300">
        <v>5</v>
      </c>
      <c r="J5" s="303">
        <v>103</v>
      </c>
      <c r="K5" s="304" t="s">
        <v>386</v>
      </c>
      <c r="L5" s="303">
        <v>0</v>
      </c>
      <c r="M5" s="307">
        <v>103</v>
      </c>
      <c r="N5" s="308" t="s">
        <v>386</v>
      </c>
      <c r="O5" s="307">
        <v>1</v>
      </c>
      <c r="P5" s="310">
        <v>103</v>
      </c>
      <c r="Q5" s="311" t="s">
        <v>386</v>
      </c>
      <c r="R5" s="310">
        <v>37</v>
      </c>
    </row>
    <row r="6" spans="1:18" ht="18">
      <c r="A6" s="294">
        <v>104</v>
      </c>
      <c r="B6" s="295" t="s">
        <v>398</v>
      </c>
      <c r="C6" s="294">
        <v>91</v>
      </c>
      <c r="D6" s="297">
        <v>104</v>
      </c>
      <c r="E6" s="298" t="s">
        <v>398</v>
      </c>
      <c r="F6" s="297">
        <v>0</v>
      </c>
      <c r="G6" s="300">
        <v>104</v>
      </c>
      <c r="H6" s="301" t="s">
        <v>398</v>
      </c>
      <c r="I6" s="300">
        <v>2</v>
      </c>
      <c r="J6" s="303">
        <v>104</v>
      </c>
      <c r="K6" s="304" t="s">
        <v>398</v>
      </c>
      <c r="L6" s="303">
        <v>4</v>
      </c>
      <c r="M6" s="307">
        <v>104</v>
      </c>
      <c r="N6" s="308" t="s">
        <v>398</v>
      </c>
      <c r="O6" s="307">
        <v>7</v>
      </c>
      <c r="P6" s="310">
        <v>104</v>
      </c>
      <c r="Q6" s="311" t="s">
        <v>398</v>
      </c>
      <c r="R6" s="310">
        <v>29</v>
      </c>
    </row>
    <row r="7" spans="1:18" ht="18">
      <c r="A7" s="294">
        <v>105</v>
      </c>
      <c r="B7" s="295" t="s">
        <v>395</v>
      </c>
      <c r="C7" s="294">
        <v>259</v>
      </c>
      <c r="D7" s="297">
        <v>105</v>
      </c>
      <c r="E7" s="298" t="s">
        <v>395</v>
      </c>
      <c r="F7" s="297">
        <v>0</v>
      </c>
      <c r="G7" s="300">
        <v>105</v>
      </c>
      <c r="H7" s="301" t="s">
        <v>395</v>
      </c>
      <c r="I7" s="300">
        <v>8</v>
      </c>
      <c r="J7" s="303">
        <v>105</v>
      </c>
      <c r="K7" s="304" t="s">
        <v>395</v>
      </c>
      <c r="L7" s="303">
        <v>2</v>
      </c>
      <c r="M7" s="307">
        <v>105</v>
      </c>
      <c r="N7" s="308" t="s">
        <v>395</v>
      </c>
      <c r="O7" s="307">
        <v>7</v>
      </c>
      <c r="P7" s="310">
        <v>105</v>
      </c>
      <c r="Q7" s="311" t="s">
        <v>395</v>
      </c>
      <c r="R7" s="310">
        <v>136</v>
      </c>
    </row>
    <row r="8" spans="1:18" ht="18">
      <c r="A8" s="294">
        <v>106</v>
      </c>
      <c r="B8" s="295" t="s">
        <v>390</v>
      </c>
      <c r="C8" s="294">
        <v>34</v>
      </c>
      <c r="D8" s="297">
        <v>106</v>
      </c>
      <c r="E8" s="298" t="s">
        <v>390</v>
      </c>
      <c r="F8" s="297">
        <v>0</v>
      </c>
      <c r="G8" s="300">
        <v>106</v>
      </c>
      <c r="H8" s="301" t="s">
        <v>390</v>
      </c>
      <c r="I8" s="300">
        <v>0</v>
      </c>
      <c r="J8" s="303">
        <v>106</v>
      </c>
      <c r="K8" s="304" t="s">
        <v>390</v>
      </c>
      <c r="L8" s="303">
        <v>0</v>
      </c>
      <c r="M8" s="307">
        <v>106</v>
      </c>
      <c r="N8" s="308" t="s">
        <v>390</v>
      </c>
      <c r="O8" s="307">
        <v>2</v>
      </c>
      <c r="P8" s="310">
        <v>106</v>
      </c>
      <c r="Q8" s="311" t="s">
        <v>390</v>
      </c>
      <c r="R8" s="310">
        <v>2</v>
      </c>
    </row>
    <row r="9" spans="1:18" ht="18">
      <c r="A9" s="294">
        <v>107</v>
      </c>
      <c r="B9" s="295" t="s">
        <v>1235</v>
      </c>
      <c r="C9" s="294">
        <v>42</v>
      </c>
      <c r="D9" s="297">
        <v>107</v>
      </c>
      <c r="E9" s="298" t="s">
        <v>1235</v>
      </c>
      <c r="F9" s="297">
        <v>0</v>
      </c>
      <c r="G9" s="300">
        <v>107</v>
      </c>
      <c r="H9" s="301" t="s">
        <v>1235</v>
      </c>
      <c r="I9" s="300">
        <v>2</v>
      </c>
      <c r="J9" s="303">
        <v>107</v>
      </c>
      <c r="K9" s="304" t="s">
        <v>1235</v>
      </c>
      <c r="L9" s="303">
        <v>0</v>
      </c>
      <c r="M9" s="307">
        <v>107</v>
      </c>
      <c r="N9" s="308" t="s">
        <v>1235</v>
      </c>
      <c r="O9" s="307">
        <v>0</v>
      </c>
      <c r="P9" s="310">
        <v>107</v>
      </c>
      <c r="Q9" s="311" t="s">
        <v>1235</v>
      </c>
      <c r="R9" s="310">
        <v>8</v>
      </c>
    </row>
    <row r="10" spans="1:18" ht="18">
      <c r="A10" s="294">
        <v>112</v>
      </c>
      <c r="B10" s="295" t="s">
        <v>22</v>
      </c>
      <c r="C10" s="294">
        <v>23</v>
      </c>
      <c r="D10" s="297">
        <v>112</v>
      </c>
      <c r="E10" s="298" t="s">
        <v>22</v>
      </c>
      <c r="F10" s="297">
        <v>0</v>
      </c>
      <c r="G10" s="300">
        <v>112</v>
      </c>
      <c r="H10" s="301" t="s">
        <v>22</v>
      </c>
      <c r="I10" s="300">
        <v>0</v>
      </c>
      <c r="J10" s="303">
        <v>112</v>
      </c>
      <c r="K10" s="304" t="s">
        <v>22</v>
      </c>
      <c r="L10" s="303">
        <v>0</v>
      </c>
      <c r="M10" s="307">
        <v>112</v>
      </c>
      <c r="N10" s="308" t="s">
        <v>22</v>
      </c>
      <c r="O10" s="307">
        <v>1</v>
      </c>
      <c r="P10" s="310">
        <v>112</v>
      </c>
      <c r="Q10" s="311" t="s">
        <v>22</v>
      </c>
      <c r="R10" s="310">
        <v>11</v>
      </c>
    </row>
    <row r="11" spans="1:18" ht="18">
      <c r="A11" s="294">
        <v>201</v>
      </c>
      <c r="B11" s="295" t="s">
        <v>1236</v>
      </c>
      <c r="C11" s="294">
        <v>5</v>
      </c>
      <c r="D11" s="297">
        <v>201</v>
      </c>
      <c r="E11" s="298" t="s">
        <v>1236</v>
      </c>
      <c r="F11" s="297">
        <v>0</v>
      </c>
      <c r="G11" s="300">
        <v>201</v>
      </c>
      <c r="H11" s="301" t="s">
        <v>1236</v>
      </c>
      <c r="I11" s="300">
        <v>0</v>
      </c>
      <c r="J11" s="303">
        <v>201</v>
      </c>
      <c r="K11" s="304" t="s">
        <v>1236</v>
      </c>
      <c r="L11" s="303">
        <v>0</v>
      </c>
      <c r="M11" s="307">
        <v>201</v>
      </c>
      <c r="N11" s="308" t="s">
        <v>1236</v>
      </c>
      <c r="O11" s="307">
        <v>0</v>
      </c>
      <c r="P11" s="310">
        <v>201</v>
      </c>
      <c r="Q11" s="311" t="s">
        <v>1236</v>
      </c>
      <c r="R11" s="310">
        <v>0</v>
      </c>
    </row>
    <row r="12" spans="1:18" ht="18">
      <c r="A12" s="294">
        <v>202</v>
      </c>
      <c r="B12" s="295" t="s">
        <v>1237</v>
      </c>
      <c r="C12" s="294">
        <v>31</v>
      </c>
      <c r="D12" s="297">
        <v>202</v>
      </c>
      <c r="E12" s="298" t="s">
        <v>1237</v>
      </c>
      <c r="F12" s="297">
        <v>0</v>
      </c>
      <c r="G12" s="300">
        <v>202</v>
      </c>
      <c r="H12" s="301" t="s">
        <v>1237</v>
      </c>
      <c r="I12" s="300">
        <v>1</v>
      </c>
      <c r="J12" s="303">
        <v>202</v>
      </c>
      <c r="K12" s="304" t="s">
        <v>1237</v>
      </c>
      <c r="L12" s="303">
        <v>0</v>
      </c>
      <c r="M12" s="307">
        <v>202</v>
      </c>
      <c r="N12" s="308" t="s">
        <v>1237</v>
      </c>
      <c r="O12" s="307">
        <v>1</v>
      </c>
      <c r="P12" s="310">
        <v>202</v>
      </c>
      <c r="Q12" s="311" t="s">
        <v>1237</v>
      </c>
      <c r="R12" s="310">
        <v>13</v>
      </c>
    </row>
    <row r="13" spans="1:18" ht="18">
      <c r="A13" s="294">
        <v>203</v>
      </c>
      <c r="B13" s="295" t="s">
        <v>1238</v>
      </c>
      <c r="C13" s="294">
        <v>2</v>
      </c>
      <c r="D13" s="297">
        <v>203</v>
      </c>
      <c r="E13" s="298" t="s">
        <v>1238</v>
      </c>
      <c r="F13" s="297">
        <v>0</v>
      </c>
      <c r="G13" s="300">
        <v>203</v>
      </c>
      <c r="H13" s="301" t="s">
        <v>1238</v>
      </c>
      <c r="I13" s="300">
        <v>0</v>
      </c>
      <c r="J13" s="303">
        <v>203</v>
      </c>
      <c r="K13" s="304" t="s">
        <v>1238</v>
      </c>
      <c r="L13" s="303">
        <v>0</v>
      </c>
      <c r="M13" s="307">
        <v>203</v>
      </c>
      <c r="N13" s="308" t="s">
        <v>1238</v>
      </c>
      <c r="O13" s="307">
        <v>0</v>
      </c>
      <c r="P13" s="310">
        <v>203</v>
      </c>
      <c r="Q13" s="311" t="s">
        <v>1238</v>
      </c>
      <c r="R13" s="310">
        <v>0</v>
      </c>
    </row>
    <row r="14" spans="1:18" ht="18">
      <c r="A14" s="294">
        <v>249</v>
      </c>
      <c r="B14" s="295" t="s">
        <v>1239</v>
      </c>
      <c r="C14" s="294">
        <v>51</v>
      </c>
      <c r="D14" s="297">
        <v>249</v>
      </c>
      <c r="E14" s="298" t="s">
        <v>1239</v>
      </c>
      <c r="F14" s="297">
        <v>0</v>
      </c>
      <c r="G14" s="300">
        <v>249</v>
      </c>
      <c r="H14" s="301" t="s">
        <v>1239</v>
      </c>
      <c r="I14" s="300">
        <v>0</v>
      </c>
      <c r="J14" s="303">
        <v>249</v>
      </c>
      <c r="K14" s="304" t="s">
        <v>1239</v>
      </c>
      <c r="L14" s="303">
        <v>0</v>
      </c>
      <c r="M14" s="307">
        <v>249</v>
      </c>
      <c r="N14" s="308" t="s">
        <v>1239</v>
      </c>
      <c r="O14" s="307">
        <v>0</v>
      </c>
      <c r="P14" s="310">
        <v>249</v>
      </c>
      <c r="Q14" s="311" t="s">
        <v>1239</v>
      </c>
      <c r="R14" s="310">
        <v>20</v>
      </c>
    </row>
    <row r="15" spans="1:18" ht="18">
      <c r="A15" s="294">
        <v>204</v>
      </c>
      <c r="B15" s="295" t="s">
        <v>23</v>
      </c>
      <c r="C15" s="294">
        <v>6</v>
      </c>
      <c r="D15" s="297">
        <v>204</v>
      </c>
      <c r="E15" s="298" t="s">
        <v>23</v>
      </c>
      <c r="F15" s="297">
        <v>0</v>
      </c>
      <c r="G15" s="300">
        <v>204</v>
      </c>
      <c r="H15" s="301" t="s">
        <v>23</v>
      </c>
      <c r="I15" s="300">
        <v>2</v>
      </c>
      <c r="J15" s="303">
        <v>204</v>
      </c>
      <c r="K15" s="304" t="s">
        <v>23</v>
      </c>
      <c r="L15" s="303">
        <v>0</v>
      </c>
      <c r="M15" s="307">
        <v>204</v>
      </c>
      <c r="N15" s="308" t="s">
        <v>23</v>
      </c>
      <c r="O15" s="307">
        <v>0</v>
      </c>
      <c r="P15" s="310">
        <v>204</v>
      </c>
      <c r="Q15" s="311" t="s">
        <v>23</v>
      </c>
      <c r="R15" s="310">
        <v>3</v>
      </c>
    </row>
    <row r="16" spans="1:18" ht="18">
      <c r="A16" s="294">
        <v>207</v>
      </c>
      <c r="B16" s="295" t="s">
        <v>1240</v>
      </c>
      <c r="C16" s="294">
        <v>6</v>
      </c>
      <c r="D16" s="297">
        <v>207</v>
      </c>
      <c r="E16" s="298" t="s">
        <v>1240</v>
      </c>
      <c r="F16" s="297">
        <v>0</v>
      </c>
      <c r="G16" s="300">
        <v>207</v>
      </c>
      <c r="H16" s="301" t="s">
        <v>1240</v>
      </c>
      <c r="I16" s="300">
        <v>0</v>
      </c>
      <c r="J16" s="303">
        <v>207</v>
      </c>
      <c r="K16" s="304" t="s">
        <v>1240</v>
      </c>
      <c r="L16" s="303">
        <v>0</v>
      </c>
      <c r="M16" s="307">
        <v>207</v>
      </c>
      <c r="N16" s="308" t="s">
        <v>1240</v>
      </c>
      <c r="O16" s="307">
        <v>0</v>
      </c>
      <c r="P16" s="310">
        <v>207</v>
      </c>
      <c r="Q16" s="311" t="s">
        <v>1240</v>
      </c>
      <c r="R16" s="310">
        <v>5</v>
      </c>
    </row>
    <row r="17" spans="1:18" ht="18">
      <c r="A17" s="294">
        <v>205</v>
      </c>
      <c r="B17" s="295" t="s">
        <v>1241</v>
      </c>
      <c r="C17" s="294">
        <v>9</v>
      </c>
      <c r="D17" s="297">
        <v>205</v>
      </c>
      <c r="E17" s="298" t="s">
        <v>1241</v>
      </c>
      <c r="F17" s="297">
        <v>0</v>
      </c>
      <c r="G17" s="300">
        <v>205</v>
      </c>
      <c r="H17" s="301" t="s">
        <v>1241</v>
      </c>
      <c r="I17" s="300">
        <v>0</v>
      </c>
      <c r="J17" s="303">
        <v>205</v>
      </c>
      <c r="K17" s="304" t="s">
        <v>1241</v>
      </c>
      <c r="L17" s="303">
        <v>0</v>
      </c>
      <c r="M17" s="307">
        <v>205</v>
      </c>
      <c r="N17" s="308" t="s">
        <v>1241</v>
      </c>
      <c r="O17" s="307">
        <v>0</v>
      </c>
      <c r="P17" s="310">
        <v>205</v>
      </c>
      <c r="Q17" s="311" t="s">
        <v>1241</v>
      </c>
      <c r="R17" s="310">
        <v>2</v>
      </c>
    </row>
    <row r="18" spans="1:18" ht="18">
      <c r="A18" s="294">
        <v>206</v>
      </c>
      <c r="B18" s="295" t="s">
        <v>1242</v>
      </c>
      <c r="C18" s="294">
        <v>9</v>
      </c>
      <c r="D18" s="297">
        <v>206</v>
      </c>
      <c r="E18" s="298" t="s">
        <v>1242</v>
      </c>
      <c r="F18" s="297">
        <v>0</v>
      </c>
      <c r="G18" s="300">
        <v>206</v>
      </c>
      <c r="H18" s="301" t="s">
        <v>1242</v>
      </c>
      <c r="I18" s="300">
        <v>0</v>
      </c>
      <c r="J18" s="303">
        <v>206</v>
      </c>
      <c r="K18" s="304" t="s">
        <v>1242</v>
      </c>
      <c r="L18" s="303">
        <v>0</v>
      </c>
      <c r="M18" s="307">
        <v>206</v>
      </c>
      <c r="N18" s="308" t="s">
        <v>1242</v>
      </c>
      <c r="O18" s="307">
        <v>2</v>
      </c>
      <c r="P18" s="310">
        <v>206</v>
      </c>
      <c r="Q18" s="311" t="s">
        <v>1242</v>
      </c>
      <c r="R18" s="310">
        <v>0</v>
      </c>
    </row>
    <row r="19" spans="1:18" ht="18">
      <c r="A19" s="294">
        <v>250</v>
      </c>
      <c r="B19" s="295" t="s">
        <v>24</v>
      </c>
      <c r="C19" s="294">
        <v>1</v>
      </c>
      <c r="D19" s="297">
        <v>250</v>
      </c>
      <c r="E19" s="298" t="s">
        <v>24</v>
      </c>
      <c r="F19" s="297">
        <v>0</v>
      </c>
      <c r="G19" s="300">
        <v>250</v>
      </c>
      <c r="H19" s="301" t="s">
        <v>24</v>
      </c>
      <c r="I19" s="300">
        <v>0</v>
      </c>
      <c r="J19" s="303">
        <v>250</v>
      </c>
      <c r="K19" s="304" t="s">
        <v>24</v>
      </c>
      <c r="L19" s="303">
        <v>0</v>
      </c>
      <c r="M19" s="307">
        <v>250</v>
      </c>
      <c r="N19" s="308" t="s">
        <v>24</v>
      </c>
      <c r="O19" s="307">
        <v>0</v>
      </c>
      <c r="P19" s="310">
        <v>250</v>
      </c>
      <c r="Q19" s="311" t="s">
        <v>24</v>
      </c>
      <c r="R19" s="310">
        <v>0</v>
      </c>
    </row>
    <row r="20" spans="1:18" ht="18">
      <c r="A20" s="294">
        <v>208</v>
      </c>
      <c r="B20" s="295" t="s">
        <v>1243</v>
      </c>
      <c r="C20" s="294">
        <v>1</v>
      </c>
      <c r="D20" s="297">
        <v>208</v>
      </c>
      <c r="E20" s="298" t="s">
        <v>1243</v>
      </c>
      <c r="F20" s="297">
        <v>0</v>
      </c>
      <c r="G20" s="300">
        <v>208</v>
      </c>
      <c r="H20" s="301" t="s">
        <v>1243</v>
      </c>
      <c r="I20" s="300">
        <v>0</v>
      </c>
      <c r="J20" s="303">
        <v>208</v>
      </c>
      <c r="K20" s="304" t="s">
        <v>1243</v>
      </c>
      <c r="L20" s="303">
        <v>0</v>
      </c>
      <c r="M20" s="307">
        <v>208</v>
      </c>
      <c r="N20" s="308" t="s">
        <v>1243</v>
      </c>
      <c r="O20" s="307">
        <v>0</v>
      </c>
      <c r="P20" s="310">
        <v>208</v>
      </c>
      <c r="Q20" s="311" t="s">
        <v>1243</v>
      </c>
      <c r="R20" s="310">
        <v>0</v>
      </c>
    </row>
    <row r="21" spans="1:18" ht="18">
      <c r="A21" s="294">
        <v>209</v>
      </c>
      <c r="B21" s="295" t="s">
        <v>1244</v>
      </c>
      <c r="C21" s="294">
        <v>0</v>
      </c>
      <c r="D21" s="297">
        <v>209</v>
      </c>
      <c r="E21" s="298" t="s">
        <v>1244</v>
      </c>
      <c r="F21" s="297">
        <v>0</v>
      </c>
      <c r="G21" s="300">
        <v>209</v>
      </c>
      <c r="H21" s="301" t="s">
        <v>1244</v>
      </c>
      <c r="I21" s="300">
        <v>0</v>
      </c>
      <c r="J21" s="303">
        <v>209</v>
      </c>
      <c r="K21" s="304" t="s">
        <v>1244</v>
      </c>
      <c r="L21" s="303">
        <v>0</v>
      </c>
      <c r="M21" s="307">
        <v>209</v>
      </c>
      <c r="N21" s="308" t="s">
        <v>1244</v>
      </c>
      <c r="O21" s="307">
        <v>0</v>
      </c>
      <c r="P21" s="310">
        <v>209</v>
      </c>
      <c r="Q21" s="311" t="s">
        <v>1244</v>
      </c>
      <c r="R21" s="310">
        <v>0</v>
      </c>
    </row>
    <row r="22" spans="1:18" ht="18">
      <c r="A22" s="294">
        <v>210</v>
      </c>
      <c r="B22" s="295" t="s">
        <v>25</v>
      </c>
      <c r="C22" s="294">
        <v>7</v>
      </c>
      <c r="D22" s="297">
        <v>210</v>
      </c>
      <c r="E22" s="298" t="s">
        <v>25</v>
      </c>
      <c r="F22" s="297">
        <v>0</v>
      </c>
      <c r="G22" s="300">
        <v>210</v>
      </c>
      <c r="H22" s="301" t="s">
        <v>25</v>
      </c>
      <c r="I22" s="300">
        <v>0</v>
      </c>
      <c r="J22" s="303">
        <v>210</v>
      </c>
      <c r="K22" s="304" t="s">
        <v>25</v>
      </c>
      <c r="L22" s="303">
        <v>0</v>
      </c>
      <c r="M22" s="307">
        <v>210</v>
      </c>
      <c r="N22" s="308" t="s">
        <v>25</v>
      </c>
      <c r="O22" s="307">
        <v>0</v>
      </c>
      <c r="P22" s="310">
        <v>210</v>
      </c>
      <c r="Q22" s="311" t="s">
        <v>25</v>
      </c>
      <c r="R22" s="310">
        <v>3</v>
      </c>
    </row>
    <row r="23" spans="1:18" ht="18">
      <c r="A23" s="294">
        <v>211</v>
      </c>
      <c r="B23" s="295" t="s">
        <v>1245</v>
      </c>
      <c r="C23" s="294">
        <v>13</v>
      </c>
      <c r="D23" s="297">
        <v>211</v>
      </c>
      <c r="E23" s="298" t="s">
        <v>1245</v>
      </c>
      <c r="F23" s="297">
        <v>0</v>
      </c>
      <c r="G23" s="300">
        <v>211</v>
      </c>
      <c r="H23" s="301" t="s">
        <v>1245</v>
      </c>
      <c r="I23" s="300">
        <v>0</v>
      </c>
      <c r="J23" s="303">
        <v>211</v>
      </c>
      <c r="K23" s="304" t="s">
        <v>1245</v>
      </c>
      <c r="L23" s="303">
        <v>0</v>
      </c>
      <c r="M23" s="307">
        <v>211</v>
      </c>
      <c r="N23" s="308" t="s">
        <v>1245</v>
      </c>
      <c r="O23" s="307">
        <v>0</v>
      </c>
      <c r="P23" s="310">
        <v>211</v>
      </c>
      <c r="Q23" s="311" t="s">
        <v>1245</v>
      </c>
      <c r="R23" s="310">
        <v>2</v>
      </c>
    </row>
    <row r="24" spans="1:18" ht="18">
      <c r="A24" s="294">
        <v>212</v>
      </c>
      <c r="B24" s="295" t="s">
        <v>1246</v>
      </c>
      <c r="C24" s="294">
        <v>16</v>
      </c>
      <c r="D24" s="297">
        <v>212</v>
      </c>
      <c r="E24" s="298" t="s">
        <v>1246</v>
      </c>
      <c r="F24" s="297">
        <v>0</v>
      </c>
      <c r="G24" s="300">
        <v>212</v>
      </c>
      <c r="H24" s="301" t="s">
        <v>1246</v>
      </c>
      <c r="I24" s="300">
        <v>0</v>
      </c>
      <c r="J24" s="303">
        <v>212</v>
      </c>
      <c r="K24" s="304" t="s">
        <v>1246</v>
      </c>
      <c r="L24" s="303">
        <v>0</v>
      </c>
      <c r="M24" s="307">
        <v>212</v>
      </c>
      <c r="N24" s="308" t="s">
        <v>1246</v>
      </c>
      <c r="O24" s="307">
        <v>0</v>
      </c>
      <c r="P24" s="310">
        <v>212</v>
      </c>
      <c r="Q24" s="311" t="s">
        <v>1246</v>
      </c>
      <c r="R24" s="310">
        <v>1</v>
      </c>
    </row>
    <row r="25" spans="1:18" ht="18">
      <c r="A25" s="294">
        <v>213</v>
      </c>
      <c r="B25" s="295" t="s">
        <v>1247</v>
      </c>
      <c r="C25" s="294">
        <v>5</v>
      </c>
      <c r="D25" s="297">
        <v>213</v>
      </c>
      <c r="E25" s="298" t="s">
        <v>1247</v>
      </c>
      <c r="F25" s="297">
        <v>0</v>
      </c>
      <c r="G25" s="300">
        <v>213</v>
      </c>
      <c r="H25" s="301" t="s">
        <v>1247</v>
      </c>
      <c r="I25" s="300">
        <v>0</v>
      </c>
      <c r="J25" s="303">
        <v>213</v>
      </c>
      <c r="K25" s="304" t="s">
        <v>1247</v>
      </c>
      <c r="L25" s="303">
        <v>0</v>
      </c>
      <c r="M25" s="307">
        <v>213</v>
      </c>
      <c r="N25" s="308" t="s">
        <v>1247</v>
      </c>
      <c r="O25" s="307">
        <v>0</v>
      </c>
      <c r="P25" s="310">
        <v>213</v>
      </c>
      <c r="Q25" s="311" t="s">
        <v>1247</v>
      </c>
      <c r="R25" s="310">
        <v>2</v>
      </c>
    </row>
    <row r="26" spans="1:18" ht="18">
      <c r="A26" s="294">
        <v>83</v>
      </c>
      <c r="B26" s="295" t="s">
        <v>26</v>
      </c>
      <c r="C26" s="294">
        <v>30</v>
      </c>
      <c r="D26" s="297">
        <v>83</v>
      </c>
      <c r="E26" s="298" t="s">
        <v>26</v>
      </c>
      <c r="F26" s="297">
        <v>0</v>
      </c>
      <c r="G26" s="300">
        <v>83</v>
      </c>
      <c r="H26" s="301" t="s">
        <v>26</v>
      </c>
      <c r="I26" s="300">
        <v>0</v>
      </c>
      <c r="J26" s="303">
        <v>83</v>
      </c>
      <c r="K26" s="304" t="s">
        <v>26</v>
      </c>
      <c r="L26" s="303">
        <v>2</v>
      </c>
      <c r="M26" s="307">
        <v>83</v>
      </c>
      <c r="N26" s="308" t="s">
        <v>26</v>
      </c>
      <c r="O26" s="307">
        <v>1</v>
      </c>
      <c r="P26" s="310">
        <v>83</v>
      </c>
      <c r="Q26" s="311" t="s">
        <v>26</v>
      </c>
      <c r="R26" s="310">
        <v>15</v>
      </c>
    </row>
    <row r="27" spans="1:18" ht="18">
      <c r="A27" s="294">
        <v>66</v>
      </c>
      <c r="B27" s="295" t="s">
        <v>27</v>
      </c>
      <c r="C27" s="294">
        <v>13</v>
      </c>
      <c r="D27" s="297">
        <v>66</v>
      </c>
      <c r="E27" s="298" t="s">
        <v>27</v>
      </c>
      <c r="F27" s="297">
        <v>0</v>
      </c>
      <c r="G27" s="300">
        <v>66</v>
      </c>
      <c r="H27" s="301" t="s">
        <v>27</v>
      </c>
      <c r="I27" s="300">
        <v>0</v>
      </c>
      <c r="J27" s="303">
        <v>66</v>
      </c>
      <c r="K27" s="304" t="s">
        <v>27</v>
      </c>
      <c r="L27" s="303">
        <v>0</v>
      </c>
      <c r="M27" s="307">
        <v>66</v>
      </c>
      <c r="N27" s="308" t="s">
        <v>27</v>
      </c>
      <c r="O27" s="307">
        <v>0</v>
      </c>
      <c r="P27" s="310">
        <v>66</v>
      </c>
      <c r="Q27" s="311" t="s">
        <v>27</v>
      </c>
      <c r="R27" s="310">
        <v>1</v>
      </c>
    </row>
    <row r="28" spans="1:18" ht="18">
      <c r="A28" s="294">
        <v>214</v>
      </c>
      <c r="B28" s="295" t="s">
        <v>28</v>
      </c>
      <c r="C28" s="294">
        <v>1</v>
      </c>
      <c r="D28" s="297">
        <v>214</v>
      </c>
      <c r="E28" s="298" t="s">
        <v>28</v>
      </c>
      <c r="F28" s="297">
        <v>0</v>
      </c>
      <c r="G28" s="300">
        <v>214</v>
      </c>
      <c r="H28" s="301" t="s">
        <v>28</v>
      </c>
      <c r="I28" s="300">
        <v>0</v>
      </c>
      <c r="J28" s="303">
        <v>214</v>
      </c>
      <c r="K28" s="304" t="s">
        <v>28</v>
      </c>
      <c r="L28" s="303">
        <v>0</v>
      </c>
      <c r="M28" s="307">
        <v>214</v>
      </c>
      <c r="N28" s="308" t="s">
        <v>28</v>
      </c>
      <c r="O28" s="307">
        <v>0</v>
      </c>
      <c r="P28" s="310">
        <v>214</v>
      </c>
      <c r="Q28" s="311" t="s">
        <v>28</v>
      </c>
      <c r="R28" s="310">
        <v>0</v>
      </c>
    </row>
    <row r="29" spans="1:18" ht="18">
      <c r="A29" s="294">
        <v>215</v>
      </c>
      <c r="B29" s="295" t="s">
        <v>1248</v>
      </c>
      <c r="C29" s="294">
        <v>3</v>
      </c>
      <c r="D29" s="297">
        <v>215</v>
      </c>
      <c r="E29" s="298" t="s">
        <v>1248</v>
      </c>
      <c r="F29" s="297">
        <v>0</v>
      </c>
      <c r="G29" s="300">
        <v>215</v>
      </c>
      <c r="H29" s="301" t="s">
        <v>1248</v>
      </c>
      <c r="I29" s="300">
        <v>0</v>
      </c>
      <c r="J29" s="303">
        <v>215</v>
      </c>
      <c r="K29" s="304" t="s">
        <v>1248</v>
      </c>
      <c r="L29" s="303">
        <v>0</v>
      </c>
      <c r="M29" s="307">
        <v>215</v>
      </c>
      <c r="N29" s="308" t="s">
        <v>1248</v>
      </c>
      <c r="O29" s="307">
        <v>0</v>
      </c>
      <c r="P29" s="310">
        <v>215</v>
      </c>
      <c r="Q29" s="311" t="s">
        <v>1248</v>
      </c>
      <c r="R29" s="310">
        <v>0</v>
      </c>
    </row>
    <row r="30" spans="1:18" ht="18">
      <c r="A30" s="294">
        <v>216</v>
      </c>
      <c r="B30" s="295" t="s">
        <v>29</v>
      </c>
      <c r="C30" s="294">
        <v>1</v>
      </c>
      <c r="D30" s="297">
        <v>216</v>
      </c>
      <c r="E30" s="298" t="s">
        <v>29</v>
      </c>
      <c r="F30" s="297">
        <v>0</v>
      </c>
      <c r="G30" s="300">
        <v>216</v>
      </c>
      <c r="H30" s="301" t="s">
        <v>29</v>
      </c>
      <c r="I30" s="300">
        <v>0</v>
      </c>
      <c r="J30" s="303">
        <v>216</v>
      </c>
      <c r="K30" s="304" t="s">
        <v>29</v>
      </c>
      <c r="L30" s="303">
        <v>0</v>
      </c>
      <c r="M30" s="307">
        <v>216</v>
      </c>
      <c r="N30" s="308" t="s">
        <v>29</v>
      </c>
      <c r="O30" s="307">
        <v>0</v>
      </c>
      <c r="P30" s="310">
        <v>216</v>
      </c>
      <c r="Q30" s="311" t="s">
        <v>29</v>
      </c>
      <c r="R30" s="310">
        <v>0</v>
      </c>
    </row>
    <row r="31" spans="1:18" ht="18">
      <c r="A31" s="294">
        <v>217</v>
      </c>
      <c r="B31" s="295" t="s">
        <v>1249</v>
      </c>
      <c r="C31" s="294">
        <v>7</v>
      </c>
      <c r="D31" s="297">
        <v>217</v>
      </c>
      <c r="E31" s="298" t="s">
        <v>1249</v>
      </c>
      <c r="F31" s="297">
        <v>0</v>
      </c>
      <c r="G31" s="300">
        <v>217</v>
      </c>
      <c r="H31" s="301" t="s">
        <v>1249</v>
      </c>
      <c r="I31" s="300">
        <v>0</v>
      </c>
      <c r="J31" s="303">
        <v>217</v>
      </c>
      <c r="K31" s="304" t="s">
        <v>1249</v>
      </c>
      <c r="L31" s="303">
        <v>0</v>
      </c>
      <c r="M31" s="307">
        <v>217</v>
      </c>
      <c r="N31" s="308" t="s">
        <v>1249</v>
      </c>
      <c r="O31" s="307">
        <v>0</v>
      </c>
      <c r="P31" s="310">
        <v>217</v>
      </c>
      <c r="Q31" s="311" t="s">
        <v>1249</v>
      </c>
      <c r="R31" s="310">
        <v>2</v>
      </c>
    </row>
    <row r="32" spans="1:18" ht="18">
      <c r="A32" s="294">
        <v>218</v>
      </c>
      <c r="B32" s="295" t="s">
        <v>1250</v>
      </c>
      <c r="C32" s="294">
        <v>3</v>
      </c>
      <c r="D32" s="297">
        <v>218</v>
      </c>
      <c r="E32" s="298" t="s">
        <v>1250</v>
      </c>
      <c r="F32" s="297">
        <v>0</v>
      </c>
      <c r="G32" s="300">
        <v>218</v>
      </c>
      <c r="H32" s="301" t="s">
        <v>1250</v>
      </c>
      <c r="I32" s="300">
        <v>0</v>
      </c>
      <c r="J32" s="303">
        <v>218</v>
      </c>
      <c r="K32" s="304" t="s">
        <v>1250</v>
      </c>
      <c r="L32" s="303">
        <v>0</v>
      </c>
      <c r="M32" s="307">
        <v>218</v>
      </c>
      <c r="N32" s="308" t="s">
        <v>1250</v>
      </c>
      <c r="O32" s="307">
        <v>0</v>
      </c>
      <c r="P32" s="310">
        <v>218</v>
      </c>
      <c r="Q32" s="311" t="s">
        <v>1250</v>
      </c>
      <c r="R32" s="310">
        <v>0</v>
      </c>
    </row>
    <row r="33" spans="1:18" ht="18">
      <c r="A33" s="294">
        <v>219</v>
      </c>
      <c r="B33" s="295" t="s">
        <v>30</v>
      </c>
      <c r="C33" s="294">
        <v>18</v>
      </c>
      <c r="D33" s="297">
        <v>219</v>
      </c>
      <c r="E33" s="298" t="s">
        <v>30</v>
      </c>
      <c r="F33" s="297">
        <v>0</v>
      </c>
      <c r="G33" s="300">
        <v>219</v>
      </c>
      <c r="H33" s="301" t="s">
        <v>30</v>
      </c>
      <c r="I33" s="300">
        <v>0</v>
      </c>
      <c r="J33" s="303">
        <v>219</v>
      </c>
      <c r="K33" s="304" t="s">
        <v>30</v>
      </c>
      <c r="L33" s="303">
        <v>1</v>
      </c>
      <c r="M33" s="307">
        <v>219</v>
      </c>
      <c r="N33" s="308" t="s">
        <v>30</v>
      </c>
      <c r="O33" s="307">
        <v>1</v>
      </c>
      <c r="P33" s="310">
        <v>219</v>
      </c>
      <c r="Q33" s="311" t="s">
        <v>30</v>
      </c>
      <c r="R33" s="310">
        <v>6</v>
      </c>
    </row>
    <row r="34" spans="1:18" ht="18">
      <c r="A34" s="294">
        <v>220</v>
      </c>
      <c r="B34" s="295" t="s">
        <v>1251</v>
      </c>
      <c r="C34" s="294">
        <v>3</v>
      </c>
      <c r="D34" s="297">
        <v>220</v>
      </c>
      <c r="E34" s="298" t="s">
        <v>1251</v>
      </c>
      <c r="F34" s="297">
        <v>0</v>
      </c>
      <c r="G34" s="300">
        <v>220</v>
      </c>
      <c r="H34" s="301" t="s">
        <v>1251</v>
      </c>
      <c r="I34" s="300">
        <v>0</v>
      </c>
      <c r="J34" s="303">
        <v>220</v>
      </c>
      <c r="K34" s="304" t="s">
        <v>1251</v>
      </c>
      <c r="L34" s="303">
        <v>0</v>
      </c>
      <c r="M34" s="307">
        <v>220</v>
      </c>
      <c r="N34" s="308" t="s">
        <v>1251</v>
      </c>
      <c r="O34" s="307">
        <v>0</v>
      </c>
      <c r="P34" s="310">
        <v>220</v>
      </c>
      <c r="Q34" s="311" t="s">
        <v>1251</v>
      </c>
      <c r="R34" s="310">
        <v>0</v>
      </c>
    </row>
    <row r="35" spans="1:18" ht="18">
      <c r="A35" s="294">
        <v>221</v>
      </c>
      <c r="B35" s="295" t="s">
        <v>1252</v>
      </c>
      <c r="C35" s="294">
        <v>25</v>
      </c>
      <c r="D35" s="297">
        <v>221</v>
      </c>
      <c r="E35" s="298" t="s">
        <v>1252</v>
      </c>
      <c r="F35" s="297">
        <v>0</v>
      </c>
      <c r="G35" s="300">
        <v>221</v>
      </c>
      <c r="H35" s="301" t="s">
        <v>1252</v>
      </c>
      <c r="I35" s="300">
        <v>0</v>
      </c>
      <c r="J35" s="303">
        <v>221</v>
      </c>
      <c r="K35" s="304" t="s">
        <v>1252</v>
      </c>
      <c r="L35" s="303">
        <v>0</v>
      </c>
      <c r="M35" s="307">
        <v>221</v>
      </c>
      <c r="N35" s="308" t="s">
        <v>1252</v>
      </c>
      <c r="O35" s="307">
        <v>0</v>
      </c>
      <c r="P35" s="310">
        <v>221</v>
      </c>
      <c r="Q35" s="311" t="s">
        <v>1252</v>
      </c>
      <c r="R35" s="310">
        <v>10</v>
      </c>
    </row>
    <row r="36" spans="1:18" ht="18">
      <c r="A36" s="294">
        <v>222</v>
      </c>
      <c r="B36" s="295" t="s">
        <v>1253</v>
      </c>
      <c r="C36" s="294">
        <v>7</v>
      </c>
      <c r="D36" s="297">
        <v>222</v>
      </c>
      <c r="E36" s="298" t="s">
        <v>1253</v>
      </c>
      <c r="F36" s="297">
        <v>0</v>
      </c>
      <c r="G36" s="300">
        <v>222</v>
      </c>
      <c r="H36" s="301" t="s">
        <v>1253</v>
      </c>
      <c r="I36" s="300">
        <v>0</v>
      </c>
      <c r="J36" s="303">
        <v>222</v>
      </c>
      <c r="K36" s="304" t="s">
        <v>1253</v>
      </c>
      <c r="L36" s="303">
        <v>0</v>
      </c>
      <c r="M36" s="307">
        <v>222</v>
      </c>
      <c r="N36" s="308" t="s">
        <v>1253</v>
      </c>
      <c r="O36" s="307">
        <v>0</v>
      </c>
      <c r="P36" s="310">
        <v>222</v>
      </c>
      <c r="Q36" s="311" t="s">
        <v>1253</v>
      </c>
      <c r="R36" s="310">
        <v>0</v>
      </c>
    </row>
    <row r="37" spans="1:18" ht="18">
      <c r="A37" s="294">
        <v>223</v>
      </c>
      <c r="B37" s="295" t="s">
        <v>1254</v>
      </c>
      <c r="C37" s="294">
        <v>1</v>
      </c>
      <c r="D37" s="297">
        <v>223</v>
      </c>
      <c r="E37" s="298" t="s">
        <v>1254</v>
      </c>
      <c r="F37" s="297">
        <v>0</v>
      </c>
      <c r="G37" s="300">
        <v>223</v>
      </c>
      <c r="H37" s="301" t="s">
        <v>1254</v>
      </c>
      <c r="I37" s="300">
        <v>0</v>
      </c>
      <c r="J37" s="303">
        <v>223</v>
      </c>
      <c r="K37" s="304" t="s">
        <v>1254</v>
      </c>
      <c r="L37" s="303">
        <v>0</v>
      </c>
      <c r="M37" s="307">
        <v>223</v>
      </c>
      <c r="N37" s="308" t="s">
        <v>1254</v>
      </c>
      <c r="O37" s="307">
        <v>0</v>
      </c>
      <c r="P37" s="310">
        <v>223</v>
      </c>
      <c r="Q37" s="311" t="s">
        <v>1254</v>
      </c>
      <c r="R37" s="310">
        <v>1</v>
      </c>
    </row>
    <row r="38" spans="1:18" ht="18">
      <c r="A38" s="294">
        <v>224</v>
      </c>
      <c r="B38" s="295" t="s">
        <v>1255</v>
      </c>
      <c r="C38" s="294">
        <v>11</v>
      </c>
      <c r="D38" s="297">
        <v>224</v>
      </c>
      <c r="E38" s="298" t="s">
        <v>1255</v>
      </c>
      <c r="F38" s="297">
        <v>3</v>
      </c>
      <c r="G38" s="300">
        <v>224</v>
      </c>
      <c r="H38" s="301" t="s">
        <v>1255</v>
      </c>
      <c r="I38" s="300">
        <v>0</v>
      </c>
      <c r="J38" s="303">
        <v>224</v>
      </c>
      <c r="K38" s="304" t="s">
        <v>1255</v>
      </c>
      <c r="L38" s="303">
        <v>0</v>
      </c>
      <c r="M38" s="307">
        <v>224</v>
      </c>
      <c r="N38" s="308" t="s">
        <v>1255</v>
      </c>
      <c r="O38" s="307">
        <v>1</v>
      </c>
      <c r="P38" s="310">
        <v>224</v>
      </c>
      <c r="Q38" s="311" t="s">
        <v>1255</v>
      </c>
      <c r="R38" s="310">
        <v>0</v>
      </c>
    </row>
    <row r="39" spans="1:18" ht="18">
      <c r="A39" s="294">
        <v>245</v>
      </c>
      <c r="B39" s="295" t="s">
        <v>31</v>
      </c>
      <c r="C39" s="296">
        <v>42</v>
      </c>
      <c r="D39" s="297">
        <v>245</v>
      </c>
      <c r="E39" s="298" t="s">
        <v>31</v>
      </c>
      <c r="F39" s="299">
        <v>1</v>
      </c>
      <c r="G39" s="300">
        <v>245</v>
      </c>
      <c r="H39" s="301" t="s">
        <v>31</v>
      </c>
      <c r="I39" s="302">
        <v>0</v>
      </c>
      <c r="J39" s="303">
        <v>245</v>
      </c>
      <c r="K39" s="304" t="s">
        <v>31</v>
      </c>
      <c r="L39" s="305">
        <v>1</v>
      </c>
      <c r="M39" s="307">
        <v>245</v>
      </c>
      <c r="N39" s="308" t="s">
        <v>31</v>
      </c>
      <c r="O39" s="309">
        <v>0</v>
      </c>
      <c r="P39" s="310">
        <v>245</v>
      </c>
      <c r="Q39" s="311" t="s">
        <v>31</v>
      </c>
      <c r="R39" s="312">
        <v>1</v>
      </c>
    </row>
    <row r="40" spans="1:18" ht="18">
      <c r="A40" s="294">
        <v>225</v>
      </c>
      <c r="B40" s="295" t="s">
        <v>1256</v>
      </c>
      <c r="C40" s="294">
        <v>6</v>
      </c>
      <c r="D40" s="297">
        <v>225</v>
      </c>
      <c r="E40" s="298" t="s">
        <v>1256</v>
      </c>
      <c r="F40" s="297">
        <v>0</v>
      </c>
      <c r="G40" s="300">
        <v>225</v>
      </c>
      <c r="H40" s="301" t="s">
        <v>1256</v>
      </c>
      <c r="I40" s="300">
        <v>0</v>
      </c>
      <c r="J40" s="303">
        <v>225</v>
      </c>
      <c r="K40" s="304" t="s">
        <v>1256</v>
      </c>
      <c r="L40" s="303">
        <v>0</v>
      </c>
      <c r="M40" s="307">
        <v>225</v>
      </c>
      <c r="N40" s="308" t="s">
        <v>1256</v>
      </c>
      <c r="O40" s="307">
        <v>0</v>
      </c>
      <c r="P40" s="310">
        <v>225</v>
      </c>
      <c r="Q40" s="311" t="s">
        <v>1256</v>
      </c>
      <c r="R40" s="310">
        <v>0</v>
      </c>
    </row>
    <row r="41" spans="1:18" ht="18">
      <c r="A41" s="294">
        <v>226</v>
      </c>
      <c r="B41" s="295" t="s">
        <v>32</v>
      </c>
      <c r="C41" s="294">
        <v>59</v>
      </c>
      <c r="D41" s="297">
        <v>226</v>
      </c>
      <c r="E41" s="298" t="s">
        <v>32</v>
      </c>
      <c r="F41" s="297">
        <v>0</v>
      </c>
      <c r="G41" s="300">
        <v>226</v>
      </c>
      <c r="H41" s="301" t="s">
        <v>32</v>
      </c>
      <c r="I41" s="300">
        <v>1</v>
      </c>
      <c r="J41" s="303">
        <v>226</v>
      </c>
      <c r="K41" s="304" t="s">
        <v>32</v>
      </c>
      <c r="L41" s="303">
        <v>0</v>
      </c>
      <c r="M41" s="307">
        <v>226</v>
      </c>
      <c r="N41" s="308" t="s">
        <v>32</v>
      </c>
      <c r="O41" s="307">
        <v>2</v>
      </c>
      <c r="P41" s="310">
        <v>226</v>
      </c>
      <c r="Q41" s="311" t="s">
        <v>32</v>
      </c>
      <c r="R41" s="310">
        <v>25</v>
      </c>
    </row>
    <row r="42" spans="1:18" ht="18">
      <c r="A42" s="294">
        <v>227</v>
      </c>
      <c r="B42" s="295" t="s">
        <v>1257</v>
      </c>
      <c r="C42" s="294">
        <v>17</v>
      </c>
      <c r="D42" s="297">
        <v>227</v>
      </c>
      <c r="E42" s="298" t="s">
        <v>1257</v>
      </c>
      <c r="F42" s="297">
        <v>0</v>
      </c>
      <c r="G42" s="300">
        <v>227</v>
      </c>
      <c r="H42" s="301" t="s">
        <v>1257</v>
      </c>
      <c r="I42" s="300">
        <v>3</v>
      </c>
      <c r="J42" s="303">
        <v>227</v>
      </c>
      <c r="K42" s="304" t="s">
        <v>1257</v>
      </c>
      <c r="L42" s="303">
        <v>0</v>
      </c>
      <c r="M42" s="307">
        <v>227</v>
      </c>
      <c r="N42" s="308" t="s">
        <v>1257</v>
      </c>
      <c r="O42" s="307">
        <v>0</v>
      </c>
      <c r="P42" s="310">
        <v>227</v>
      </c>
      <c r="Q42" s="311" t="s">
        <v>1257</v>
      </c>
      <c r="R42" s="310">
        <v>8</v>
      </c>
    </row>
    <row r="43" spans="1:18" ht="18">
      <c r="A43" s="294">
        <v>228</v>
      </c>
      <c r="B43" s="295" t="s">
        <v>1258</v>
      </c>
      <c r="C43" s="294">
        <v>6</v>
      </c>
      <c r="D43" s="297">
        <v>228</v>
      </c>
      <c r="E43" s="298" t="s">
        <v>1258</v>
      </c>
      <c r="F43" s="297">
        <v>0</v>
      </c>
      <c r="G43" s="300">
        <v>228</v>
      </c>
      <c r="H43" s="301" t="s">
        <v>1258</v>
      </c>
      <c r="I43" s="300">
        <v>0</v>
      </c>
      <c r="J43" s="303">
        <v>228</v>
      </c>
      <c r="K43" s="304" t="s">
        <v>1258</v>
      </c>
      <c r="L43" s="303">
        <v>0</v>
      </c>
      <c r="M43" s="307">
        <v>228</v>
      </c>
      <c r="N43" s="308" t="s">
        <v>1258</v>
      </c>
      <c r="O43" s="307">
        <v>0</v>
      </c>
      <c r="P43" s="310">
        <v>228</v>
      </c>
      <c r="Q43" s="311" t="s">
        <v>1258</v>
      </c>
      <c r="R43" s="310">
        <v>0</v>
      </c>
    </row>
    <row r="44" spans="1:18" ht="18">
      <c r="A44" s="294">
        <v>229</v>
      </c>
      <c r="B44" s="295" t="s">
        <v>1259</v>
      </c>
      <c r="C44" s="294">
        <v>3</v>
      </c>
      <c r="D44" s="297">
        <v>229</v>
      </c>
      <c r="E44" s="298" t="s">
        <v>1259</v>
      </c>
      <c r="F44" s="297">
        <v>0</v>
      </c>
      <c r="G44" s="300">
        <v>229</v>
      </c>
      <c r="H44" s="301" t="s">
        <v>1259</v>
      </c>
      <c r="I44" s="300">
        <v>0</v>
      </c>
      <c r="J44" s="303">
        <v>229</v>
      </c>
      <c r="K44" s="304" t="s">
        <v>1259</v>
      </c>
      <c r="L44" s="303">
        <v>0</v>
      </c>
      <c r="M44" s="307">
        <v>229</v>
      </c>
      <c r="N44" s="308" t="s">
        <v>1259</v>
      </c>
      <c r="O44" s="307">
        <v>0</v>
      </c>
      <c r="P44" s="310">
        <v>229</v>
      </c>
      <c r="Q44" s="311" t="s">
        <v>1259</v>
      </c>
      <c r="R44" s="310">
        <v>3</v>
      </c>
    </row>
    <row r="45" spans="1:18" ht="18">
      <c r="A45" s="294">
        <v>230</v>
      </c>
      <c r="B45" s="295" t="s">
        <v>1260</v>
      </c>
      <c r="C45" s="294">
        <v>0</v>
      </c>
      <c r="D45" s="297">
        <v>230</v>
      </c>
      <c r="E45" s="298" t="s">
        <v>1260</v>
      </c>
      <c r="F45" s="297">
        <v>0</v>
      </c>
      <c r="G45" s="300">
        <v>230</v>
      </c>
      <c r="H45" s="301" t="s">
        <v>1260</v>
      </c>
      <c r="I45" s="300">
        <v>0</v>
      </c>
      <c r="J45" s="303">
        <v>230</v>
      </c>
      <c r="K45" s="304" t="s">
        <v>1260</v>
      </c>
      <c r="L45" s="303">
        <v>0</v>
      </c>
      <c r="M45" s="307">
        <v>230</v>
      </c>
      <c r="N45" s="308" t="s">
        <v>1260</v>
      </c>
      <c r="O45" s="307">
        <v>0</v>
      </c>
      <c r="P45" s="310">
        <v>230</v>
      </c>
      <c r="Q45" s="311" t="s">
        <v>1260</v>
      </c>
      <c r="R45" s="310">
        <v>0</v>
      </c>
    </row>
    <row r="46" spans="1:18" ht="18">
      <c r="A46" s="294">
        <v>231</v>
      </c>
      <c r="B46" s="295" t="s">
        <v>33</v>
      </c>
      <c r="C46" s="294">
        <v>57</v>
      </c>
      <c r="D46" s="297">
        <v>231</v>
      </c>
      <c r="E46" s="298" t="s">
        <v>33</v>
      </c>
      <c r="F46" s="297">
        <v>0</v>
      </c>
      <c r="G46" s="300">
        <v>231</v>
      </c>
      <c r="H46" s="301" t="s">
        <v>33</v>
      </c>
      <c r="I46" s="300">
        <v>1</v>
      </c>
      <c r="J46" s="303">
        <v>231</v>
      </c>
      <c r="K46" s="304" t="s">
        <v>33</v>
      </c>
      <c r="L46" s="303">
        <v>1</v>
      </c>
      <c r="M46" s="307">
        <v>231</v>
      </c>
      <c r="N46" s="308" t="s">
        <v>33</v>
      </c>
      <c r="O46" s="307">
        <v>6</v>
      </c>
      <c r="P46" s="310">
        <v>231</v>
      </c>
      <c r="Q46" s="311" t="s">
        <v>33</v>
      </c>
      <c r="R46" s="310">
        <v>3</v>
      </c>
    </row>
    <row r="47" spans="1:18" ht="18">
      <c r="A47" s="294">
        <v>232</v>
      </c>
      <c r="B47" s="295" t="s">
        <v>1261</v>
      </c>
      <c r="C47" s="294">
        <v>3</v>
      </c>
      <c r="D47" s="297">
        <v>232</v>
      </c>
      <c r="E47" s="298" t="s">
        <v>1261</v>
      </c>
      <c r="F47" s="297">
        <v>0</v>
      </c>
      <c r="G47" s="300">
        <v>232</v>
      </c>
      <c r="H47" s="301" t="s">
        <v>1261</v>
      </c>
      <c r="I47" s="300">
        <v>0</v>
      </c>
      <c r="J47" s="303">
        <v>232</v>
      </c>
      <c r="K47" s="304" t="s">
        <v>1261</v>
      </c>
      <c r="L47" s="303">
        <v>0</v>
      </c>
      <c r="M47" s="307">
        <v>232</v>
      </c>
      <c r="N47" s="308" t="s">
        <v>1261</v>
      </c>
      <c r="O47" s="307">
        <v>0</v>
      </c>
      <c r="P47" s="310">
        <v>232</v>
      </c>
      <c r="Q47" s="311" t="s">
        <v>1261</v>
      </c>
      <c r="R47" s="310">
        <v>3</v>
      </c>
    </row>
    <row r="48" spans="1:18" ht="18">
      <c r="A48" s="294">
        <v>233</v>
      </c>
      <c r="B48" s="295" t="s">
        <v>1262</v>
      </c>
      <c r="C48" s="294">
        <v>7</v>
      </c>
      <c r="D48" s="297">
        <v>233</v>
      </c>
      <c r="E48" s="298" t="s">
        <v>1262</v>
      </c>
      <c r="F48" s="297">
        <v>0</v>
      </c>
      <c r="G48" s="300">
        <v>233</v>
      </c>
      <c r="H48" s="301" t="s">
        <v>1262</v>
      </c>
      <c r="I48" s="300">
        <v>0</v>
      </c>
      <c r="J48" s="303">
        <v>233</v>
      </c>
      <c r="K48" s="304" t="s">
        <v>1262</v>
      </c>
      <c r="L48" s="303">
        <v>0</v>
      </c>
      <c r="M48" s="307">
        <v>233</v>
      </c>
      <c r="N48" s="308" t="s">
        <v>1262</v>
      </c>
      <c r="O48" s="307">
        <v>0</v>
      </c>
      <c r="P48" s="310">
        <v>233</v>
      </c>
      <c r="Q48" s="311" t="s">
        <v>1262</v>
      </c>
      <c r="R48" s="310">
        <v>0</v>
      </c>
    </row>
    <row r="49" spans="1:18" ht="18">
      <c r="A49" s="294">
        <v>234</v>
      </c>
      <c r="B49" s="295" t="s">
        <v>1263</v>
      </c>
      <c r="C49" s="294">
        <v>26</v>
      </c>
      <c r="D49" s="297">
        <v>234</v>
      </c>
      <c r="E49" s="298" t="s">
        <v>1263</v>
      </c>
      <c r="F49" s="297">
        <v>0</v>
      </c>
      <c r="G49" s="300">
        <v>234</v>
      </c>
      <c r="H49" s="301" t="s">
        <v>1263</v>
      </c>
      <c r="I49" s="300">
        <v>0</v>
      </c>
      <c r="J49" s="303">
        <v>234</v>
      </c>
      <c r="K49" s="304" t="s">
        <v>1263</v>
      </c>
      <c r="L49" s="303">
        <v>0</v>
      </c>
      <c r="M49" s="307">
        <v>234</v>
      </c>
      <c r="N49" s="308" t="s">
        <v>1263</v>
      </c>
      <c r="O49" s="307">
        <v>0</v>
      </c>
      <c r="P49" s="310">
        <v>234</v>
      </c>
      <c r="Q49" s="311" t="s">
        <v>1263</v>
      </c>
      <c r="R49" s="310">
        <v>5</v>
      </c>
    </row>
    <row r="50" spans="1:18" ht="18">
      <c r="A50" s="294">
        <v>235</v>
      </c>
      <c r="B50" s="295" t="s">
        <v>1264</v>
      </c>
      <c r="C50" s="294">
        <v>3</v>
      </c>
      <c r="D50" s="297">
        <v>235</v>
      </c>
      <c r="E50" s="298" t="s">
        <v>1264</v>
      </c>
      <c r="F50" s="297">
        <v>0</v>
      </c>
      <c r="G50" s="300">
        <v>235</v>
      </c>
      <c r="H50" s="301" t="s">
        <v>1264</v>
      </c>
      <c r="I50" s="300">
        <v>0</v>
      </c>
      <c r="J50" s="303">
        <v>235</v>
      </c>
      <c r="K50" s="304" t="s">
        <v>1264</v>
      </c>
      <c r="L50" s="303">
        <v>0</v>
      </c>
      <c r="M50" s="307">
        <v>235</v>
      </c>
      <c r="N50" s="308" t="s">
        <v>1264</v>
      </c>
      <c r="O50" s="307">
        <v>0</v>
      </c>
      <c r="P50" s="310">
        <v>235</v>
      </c>
      <c r="Q50" s="311" t="s">
        <v>1264</v>
      </c>
      <c r="R50" s="310">
        <v>0</v>
      </c>
    </row>
    <row r="51" spans="1:18" ht="18">
      <c r="A51" s="294">
        <v>236</v>
      </c>
      <c r="B51" s="295" t="s">
        <v>1265</v>
      </c>
      <c r="C51" s="294">
        <v>1</v>
      </c>
      <c r="D51" s="297">
        <v>236</v>
      </c>
      <c r="E51" s="298" t="s">
        <v>1265</v>
      </c>
      <c r="F51" s="297">
        <v>0</v>
      </c>
      <c r="G51" s="300">
        <v>236</v>
      </c>
      <c r="H51" s="301" t="s">
        <v>1265</v>
      </c>
      <c r="I51" s="300">
        <v>0</v>
      </c>
      <c r="J51" s="303">
        <v>236</v>
      </c>
      <c r="K51" s="304" t="s">
        <v>1265</v>
      </c>
      <c r="L51" s="303">
        <v>0</v>
      </c>
      <c r="M51" s="307">
        <v>236</v>
      </c>
      <c r="N51" s="308" t="s">
        <v>1265</v>
      </c>
      <c r="O51" s="307">
        <v>0</v>
      </c>
      <c r="P51" s="310">
        <v>236</v>
      </c>
      <c r="Q51" s="311" t="s">
        <v>1265</v>
      </c>
      <c r="R51" s="310">
        <v>0</v>
      </c>
    </row>
    <row r="52" spans="1:18" ht="18">
      <c r="A52" s="294">
        <v>252</v>
      </c>
      <c r="B52" s="295" t="s">
        <v>34</v>
      </c>
      <c r="C52" s="294">
        <v>18</v>
      </c>
      <c r="D52" s="297">
        <v>252</v>
      </c>
      <c r="E52" s="298" t="s">
        <v>34</v>
      </c>
      <c r="F52" s="297">
        <v>0</v>
      </c>
      <c r="G52" s="300">
        <v>252</v>
      </c>
      <c r="H52" s="301" t="s">
        <v>34</v>
      </c>
      <c r="I52" s="300">
        <v>0</v>
      </c>
      <c r="J52" s="303">
        <v>252</v>
      </c>
      <c r="K52" s="304" t="s">
        <v>34</v>
      </c>
      <c r="L52" s="303">
        <v>3</v>
      </c>
      <c r="M52" s="307">
        <v>252</v>
      </c>
      <c r="N52" s="308" t="s">
        <v>34</v>
      </c>
      <c r="O52" s="307">
        <v>0</v>
      </c>
      <c r="P52" s="310">
        <v>252</v>
      </c>
      <c r="Q52" s="311" t="s">
        <v>34</v>
      </c>
      <c r="R52" s="310">
        <v>6</v>
      </c>
    </row>
    <row r="53" spans="1:18" ht="18">
      <c r="A53" s="294">
        <v>237</v>
      </c>
      <c r="B53" s="295" t="s">
        <v>1266</v>
      </c>
      <c r="C53" s="294">
        <v>8</v>
      </c>
      <c r="D53" s="297">
        <v>237</v>
      </c>
      <c r="E53" s="298" t="s">
        <v>1266</v>
      </c>
      <c r="F53" s="297">
        <v>0</v>
      </c>
      <c r="G53" s="300">
        <v>237</v>
      </c>
      <c r="H53" s="301" t="s">
        <v>1266</v>
      </c>
      <c r="I53" s="300">
        <v>0</v>
      </c>
      <c r="J53" s="303">
        <v>237</v>
      </c>
      <c r="K53" s="304" t="s">
        <v>1266</v>
      </c>
      <c r="L53" s="303">
        <v>0</v>
      </c>
      <c r="M53" s="307">
        <v>237</v>
      </c>
      <c r="N53" s="308" t="s">
        <v>1266</v>
      </c>
      <c r="O53" s="307">
        <v>0</v>
      </c>
      <c r="P53" s="310">
        <v>237</v>
      </c>
      <c r="Q53" s="311" t="s">
        <v>1266</v>
      </c>
      <c r="R53" s="310">
        <v>0</v>
      </c>
    </row>
    <row r="54" spans="1:18" ht="18">
      <c r="A54" s="294">
        <v>301</v>
      </c>
      <c r="B54" s="295" t="s">
        <v>1267</v>
      </c>
      <c r="C54" s="294">
        <v>2</v>
      </c>
      <c r="D54" s="297">
        <v>301</v>
      </c>
      <c r="E54" s="298" t="s">
        <v>1267</v>
      </c>
      <c r="F54" s="297">
        <v>0</v>
      </c>
      <c r="G54" s="300">
        <v>301</v>
      </c>
      <c r="H54" s="301" t="s">
        <v>1267</v>
      </c>
      <c r="I54" s="300">
        <v>0</v>
      </c>
      <c r="J54" s="303">
        <v>301</v>
      </c>
      <c r="K54" s="304" t="s">
        <v>1267</v>
      </c>
      <c r="L54" s="303">
        <v>0</v>
      </c>
      <c r="M54" s="307">
        <v>301</v>
      </c>
      <c r="N54" s="308" t="s">
        <v>1267</v>
      </c>
      <c r="O54" s="307">
        <v>0</v>
      </c>
      <c r="P54" s="310">
        <v>301</v>
      </c>
      <c r="Q54" s="311" t="s">
        <v>1267</v>
      </c>
      <c r="R54" s="310">
        <v>0</v>
      </c>
    </row>
    <row r="55" spans="1:18" ht="18">
      <c r="A55" s="294">
        <v>238</v>
      </c>
      <c r="B55" s="295" t="s">
        <v>1268</v>
      </c>
      <c r="C55" s="294">
        <v>5</v>
      </c>
      <c r="D55" s="297">
        <v>238</v>
      </c>
      <c r="E55" s="298" t="s">
        <v>1268</v>
      </c>
      <c r="F55" s="297">
        <v>0</v>
      </c>
      <c r="G55" s="300">
        <v>238</v>
      </c>
      <c r="H55" s="301" t="s">
        <v>1268</v>
      </c>
      <c r="I55" s="300">
        <v>0</v>
      </c>
      <c r="J55" s="303">
        <v>238</v>
      </c>
      <c r="K55" s="304" t="s">
        <v>1268</v>
      </c>
      <c r="L55" s="303">
        <v>0</v>
      </c>
      <c r="M55" s="307">
        <v>238</v>
      </c>
      <c r="N55" s="308" t="s">
        <v>1268</v>
      </c>
      <c r="O55" s="307">
        <v>0</v>
      </c>
      <c r="P55" s="310">
        <v>238</v>
      </c>
      <c r="Q55" s="311" t="s">
        <v>1268</v>
      </c>
      <c r="R55" s="310">
        <v>0</v>
      </c>
    </row>
    <row r="56" spans="1:18" ht="18">
      <c r="A56" s="294">
        <v>239</v>
      </c>
      <c r="B56" s="295" t="s">
        <v>1269</v>
      </c>
      <c r="C56" s="294">
        <v>5</v>
      </c>
      <c r="D56" s="297">
        <v>239</v>
      </c>
      <c r="E56" s="298" t="s">
        <v>1269</v>
      </c>
      <c r="F56" s="297">
        <v>1</v>
      </c>
      <c r="G56" s="300">
        <v>239</v>
      </c>
      <c r="H56" s="301" t="s">
        <v>1269</v>
      </c>
      <c r="I56" s="300">
        <v>0</v>
      </c>
      <c r="J56" s="303">
        <v>239</v>
      </c>
      <c r="K56" s="304" t="s">
        <v>1269</v>
      </c>
      <c r="L56" s="303">
        <v>0</v>
      </c>
      <c r="M56" s="307">
        <v>239</v>
      </c>
      <c r="N56" s="308" t="s">
        <v>1269</v>
      </c>
      <c r="O56" s="307">
        <v>0</v>
      </c>
      <c r="P56" s="310">
        <v>239</v>
      </c>
      <c r="Q56" s="311" t="s">
        <v>1269</v>
      </c>
      <c r="R56" s="310">
        <v>1</v>
      </c>
    </row>
    <row r="57" spans="1:18" ht="18">
      <c r="A57" s="294">
        <v>240</v>
      </c>
      <c r="B57" s="295" t="s">
        <v>1270</v>
      </c>
      <c r="C57" s="294">
        <v>1</v>
      </c>
      <c r="D57" s="297">
        <v>240</v>
      </c>
      <c r="E57" s="298" t="s">
        <v>1270</v>
      </c>
      <c r="F57" s="297">
        <v>0</v>
      </c>
      <c r="G57" s="300">
        <v>240</v>
      </c>
      <c r="H57" s="301" t="s">
        <v>1270</v>
      </c>
      <c r="I57" s="300">
        <v>0</v>
      </c>
      <c r="J57" s="303">
        <v>240</v>
      </c>
      <c r="K57" s="304" t="s">
        <v>1270</v>
      </c>
      <c r="L57" s="303">
        <v>0</v>
      </c>
      <c r="M57" s="307">
        <v>240</v>
      </c>
      <c r="N57" s="308" t="s">
        <v>1270</v>
      </c>
      <c r="O57" s="307">
        <v>0</v>
      </c>
      <c r="P57" s="310">
        <v>240</v>
      </c>
      <c r="Q57" s="311" t="s">
        <v>1270</v>
      </c>
      <c r="R57" s="310">
        <v>0</v>
      </c>
    </row>
    <row r="58" spans="1:18" ht="18">
      <c r="A58" s="294">
        <v>241</v>
      </c>
      <c r="B58" s="295" t="s">
        <v>1271</v>
      </c>
      <c r="C58" s="294">
        <v>2</v>
      </c>
      <c r="D58" s="297">
        <v>241</v>
      </c>
      <c r="E58" s="298" t="s">
        <v>1271</v>
      </c>
      <c r="F58" s="297">
        <v>0</v>
      </c>
      <c r="G58" s="300">
        <v>241</v>
      </c>
      <c r="H58" s="301" t="s">
        <v>1271</v>
      </c>
      <c r="I58" s="300">
        <v>0</v>
      </c>
      <c r="J58" s="303">
        <v>241</v>
      </c>
      <c r="K58" s="304" t="s">
        <v>1271</v>
      </c>
      <c r="L58" s="303">
        <v>0</v>
      </c>
      <c r="M58" s="307">
        <v>241</v>
      </c>
      <c r="N58" s="308" t="s">
        <v>1271</v>
      </c>
      <c r="O58" s="307">
        <v>0</v>
      </c>
      <c r="P58" s="310">
        <v>241</v>
      </c>
      <c r="Q58" s="311" t="s">
        <v>1271</v>
      </c>
      <c r="R58" s="310">
        <v>0</v>
      </c>
    </row>
    <row r="59" spans="1:18" ht="18">
      <c r="A59" s="294">
        <v>242</v>
      </c>
      <c r="B59" s="295" t="s">
        <v>1272</v>
      </c>
      <c r="C59" s="294">
        <v>4</v>
      </c>
      <c r="D59" s="297">
        <v>242</v>
      </c>
      <c r="E59" s="298" t="s">
        <v>1272</v>
      </c>
      <c r="F59" s="297">
        <v>0</v>
      </c>
      <c r="G59" s="300">
        <v>242</v>
      </c>
      <c r="H59" s="301" t="s">
        <v>1272</v>
      </c>
      <c r="I59" s="300">
        <v>0</v>
      </c>
      <c r="J59" s="303">
        <v>242</v>
      </c>
      <c r="K59" s="304" t="s">
        <v>1272</v>
      </c>
      <c r="L59" s="303">
        <v>0</v>
      </c>
      <c r="M59" s="307">
        <v>242</v>
      </c>
      <c r="N59" s="308" t="s">
        <v>1272</v>
      </c>
      <c r="O59" s="307">
        <v>0</v>
      </c>
      <c r="P59" s="310">
        <v>242</v>
      </c>
      <c r="Q59" s="311" t="s">
        <v>1272</v>
      </c>
      <c r="R59" s="310">
        <v>0</v>
      </c>
    </row>
    <row r="60" spans="1:18" ht="18">
      <c r="A60" s="294">
        <v>243</v>
      </c>
      <c r="B60" s="295" t="s">
        <v>1273</v>
      </c>
      <c r="C60" s="294">
        <v>3</v>
      </c>
      <c r="D60" s="297">
        <v>243</v>
      </c>
      <c r="E60" s="298" t="s">
        <v>1273</v>
      </c>
      <c r="F60" s="297">
        <v>0</v>
      </c>
      <c r="G60" s="300">
        <v>243</v>
      </c>
      <c r="H60" s="301" t="s">
        <v>1273</v>
      </c>
      <c r="I60" s="300">
        <v>0</v>
      </c>
      <c r="J60" s="303">
        <v>243</v>
      </c>
      <c r="K60" s="304" t="s">
        <v>1273</v>
      </c>
      <c r="L60" s="303">
        <v>0</v>
      </c>
      <c r="M60" s="307">
        <v>243</v>
      </c>
      <c r="N60" s="308" t="s">
        <v>1273</v>
      </c>
      <c r="O60" s="307">
        <v>0</v>
      </c>
      <c r="P60" s="310">
        <v>243</v>
      </c>
      <c r="Q60" s="311" t="s">
        <v>1273</v>
      </c>
      <c r="R60" s="310">
        <v>1</v>
      </c>
    </row>
    <row r="61" spans="1:18" ht="18">
      <c r="A61" s="294">
        <v>244</v>
      </c>
      <c r="B61" s="295" t="s">
        <v>1274</v>
      </c>
      <c r="C61" s="294">
        <v>5</v>
      </c>
      <c r="D61" s="297">
        <v>244</v>
      </c>
      <c r="E61" s="298" t="s">
        <v>1274</v>
      </c>
      <c r="F61" s="297">
        <v>0</v>
      </c>
      <c r="G61" s="300">
        <v>244</v>
      </c>
      <c r="H61" s="301" t="s">
        <v>1274</v>
      </c>
      <c r="I61" s="300">
        <v>0</v>
      </c>
      <c r="J61" s="303">
        <v>244</v>
      </c>
      <c r="K61" s="304" t="s">
        <v>1274</v>
      </c>
      <c r="L61" s="303">
        <v>0</v>
      </c>
      <c r="M61" s="307">
        <v>244</v>
      </c>
      <c r="N61" s="308" t="s">
        <v>1274</v>
      </c>
      <c r="O61" s="307">
        <v>0</v>
      </c>
      <c r="P61" s="310">
        <v>244</v>
      </c>
      <c r="Q61" s="311" t="s">
        <v>1274</v>
      </c>
      <c r="R61" s="310">
        <v>0</v>
      </c>
    </row>
    <row r="62" spans="1:18" ht="18">
      <c r="A62" s="294">
        <v>401</v>
      </c>
      <c r="B62" s="295" t="s">
        <v>1275</v>
      </c>
      <c r="C62" s="294">
        <v>0</v>
      </c>
      <c r="D62" s="297">
        <v>401</v>
      </c>
      <c r="E62" s="298" t="s">
        <v>1275</v>
      </c>
      <c r="F62" s="297">
        <v>0</v>
      </c>
      <c r="G62" s="300">
        <v>401</v>
      </c>
      <c r="H62" s="301" t="s">
        <v>1275</v>
      </c>
      <c r="I62" s="300">
        <v>0</v>
      </c>
      <c r="J62" s="303">
        <v>401</v>
      </c>
      <c r="K62" s="304" t="s">
        <v>1275</v>
      </c>
      <c r="L62" s="303">
        <v>0</v>
      </c>
      <c r="M62" s="307">
        <v>401</v>
      </c>
      <c r="N62" s="308" t="s">
        <v>1275</v>
      </c>
      <c r="O62" s="307">
        <v>0</v>
      </c>
      <c r="P62" s="310">
        <v>401</v>
      </c>
      <c r="Q62" s="311" t="s">
        <v>1275</v>
      </c>
      <c r="R62" s="310">
        <v>0</v>
      </c>
    </row>
  </sheetData>
  <mergeCells count="6">
    <mergeCell ref="P1:R1"/>
    <mergeCell ref="A1:C1"/>
    <mergeCell ref="D1:F1"/>
    <mergeCell ref="G1:I1"/>
    <mergeCell ref="J1:L1"/>
    <mergeCell ref="M1:O1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R62"/>
  <sheetViews>
    <sheetView workbookViewId="0">
      <selection activeCell="A6" sqref="A6"/>
    </sheetView>
  </sheetViews>
  <sheetFormatPr defaultRowHeight="15"/>
  <sheetData>
    <row r="1" spans="1:18" ht="18">
      <c r="A1" s="409"/>
      <c r="B1" s="409"/>
      <c r="C1" s="409"/>
      <c r="D1" s="410">
        <v>105</v>
      </c>
      <c r="E1" s="410"/>
      <c r="F1" s="410"/>
      <c r="G1" s="411">
        <v>111</v>
      </c>
      <c r="H1" s="411"/>
      <c r="I1" s="411"/>
      <c r="J1" s="412">
        <v>162</v>
      </c>
      <c r="K1" s="412"/>
      <c r="L1" s="412"/>
      <c r="M1" s="413">
        <v>161</v>
      </c>
      <c r="N1" s="413"/>
      <c r="O1" s="413"/>
      <c r="P1" s="408">
        <v>158</v>
      </c>
      <c r="Q1" s="408"/>
      <c r="R1" s="408"/>
    </row>
    <row r="2" spans="1:18" ht="18">
      <c r="A2" s="313">
        <v>400</v>
      </c>
      <c r="B2" s="314" t="s">
        <v>1234</v>
      </c>
      <c r="C2" s="313">
        <v>576</v>
      </c>
      <c r="D2" s="316">
        <v>400</v>
      </c>
      <c r="E2" s="317" t="s">
        <v>1234</v>
      </c>
      <c r="F2" s="316">
        <v>3</v>
      </c>
      <c r="G2" s="319">
        <v>400</v>
      </c>
      <c r="H2" s="320" t="s">
        <v>1234</v>
      </c>
      <c r="I2" s="319">
        <v>15</v>
      </c>
      <c r="J2" s="323">
        <v>400</v>
      </c>
      <c r="K2" s="324" t="s">
        <v>1234</v>
      </c>
      <c r="L2" s="323">
        <v>0</v>
      </c>
      <c r="M2" s="326">
        <v>400</v>
      </c>
      <c r="N2" s="327" t="s">
        <v>1234</v>
      </c>
      <c r="O2" s="326">
        <v>7</v>
      </c>
      <c r="P2" s="330">
        <v>400</v>
      </c>
      <c r="Q2" s="331" t="s">
        <v>1234</v>
      </c>
      <c r="R2" s="330">
        <v>103</v>
      </c>
    </row>
    <row r="3" spans="1:18" ht="18">
      <c r="A3" s="313">
        <v>101</v>
      </c>
      <c r="B3" s="314" t="s">
        <v>384</v>
      </c>
      <c r="C3" s="313">
        <v>11</v>
      </c>
      <c r="D3" s="316">
        <v>101</v>
      </c>
      <c r="E3" s="317" t="s">
        <v>384</v>
      </c>
      <c r="F3" s="316">
        <v>0</v>
      </c>
      <c r="G3" s="319">
        <v>101</v>
      </c>
      <c r="H3" s="320" t="s">
        <v>384</v>
      </c>
      <c r="I3" s="319">
        <v>0</v>
      </c>
      <c r="J3" s="323">
        <v>101</v>
      </c>
      <c r="K3" s="324" t="s">
        <v>384</v>
      </c>
      <c r="L3" s="323">
        <v>0</v>
      </c>
      <c r="M3" s="326">
        <v>101</v>
      </c>
      <c r="N3" s="327" t="s">
        <v>384</v>
      </c>
      <c r="O3" s="326">
        <v>0</v>
      </c>
      <c r="P3" s="330">
        <v>101</v>
      </c>
      <c r="Q3" s="331" t="s">
        <v>384</v>
      </c>
      <c r="R3" s="330">
        <v>2</v>
      </c>
    </row>
    <row r="4" spans="1:18" ht="18">
      <c r="A4" s="313">
        <v>102</v>
      </c>
      <c r="B4" s="314" t="s">
        <v>385</v>
      </c>
      <c r="C4" s="313">
        <v>48</v>
      </c>
      <c r="D4" s="316">
        <v>102</v>
      </c>
      <c r="E4" s="317" t="s">
        <v>385</v>
      </c>
      <c r="F4" s="316">
        <v>0</v>
      </c>
      <c r="G4" s="319">
        <v>102</v>
      </c>
      <c r="H4" s="320" t="s">
        <v>385</v>
      </c>
      <c r="I4" s="319">
        <v>2</v>
      </c>
      <c r="J4" s="323">
        <v>102</v>
      </c>
      <c r="K4" s="324" t="s">
        <v>385</v>
      </c>
      <c r="L4" s="323">
        <v>0</v>
      </c>
      <c r="M4" s="326">
        <v>102</v>
      </c>
      <c r="N4" s="327" t="s">
        <v>385</v>
      </c>
      <c r="O4" s="326">
        <v>0</v>
      </c>
      <c r="P4" s="330">
        <v>102</v>
      </c>
      <c r="Q4" s="331" t="s">
        <v>385</v>
      </c>
      <c r="R4" s="330">
        <v>22</v>
      </c>
    </row>
    <row r="5" spans="1:18" ht="18">
      <c r="A5" s="313">
        <v>103</v>
      </c>
      <c r="B5" s="314" t="s">
        <v>386</v>
      </c>
      <c r="C5" s="313">
        <v>8</v>
      </c>
      <c r="D5" s="316">
        <v>103</v>
      </c>
      <c r="E5" s="317" t="s">
        <v>386</v>
      </c>
      <c r="F5" s="316">
        <v>0</v>
      </c>
      <c r="G5" s="319">
        <v>103</v>
      </c>
      <c r="H5" s="320" t="s">
        <v>386</v>
      </c>
      <c r="I5" s="319">
        <v>1</v>
      </c>
      <c r="J5" s="323">
        <v>103</v>
      </c>
      <c r="K5" s="324" t="s">
        <v>386</v>
      </c>
      <c r="L5" s="323">
        <v>0</v>
      </c>
      <c r="M5" s="326">
        <v>103</v>
      </c>
      <c r="N5" s="327" t="s">
        <v>386</v>
      </c>
      <c r="O5" s="326">
        <v>1</v>
      </c>
      <c r="P5" s="330">
        <v>103</v>
      </c>
      <c r="Q5" s="331" t="s">
        <v>386</v>
      </c>
      <c r="R5" s="330">
        <v>1</v>
      </c>
    </row>
    <row r="6" spans="1:18" ht="18">
      <c r="A6" s="313">
        <v>104</v>
      </c>
      <c r="B6" s="314" t="s">
        <v>398</v>
      </c>
      <c r="C6" s="313">
        <v>19</v>
      </c>
      <c r="D6" s="316">
        <v>104</v>
      </c>
      <c r="E6" s="317" t="s">
        <v>398</v>
      </c>
      <c r="F6" s="316">
        <v>0</v>
      </c>
      <c r="G6" s="319">
        <v>104</v>
      </c>
      <c r="H6" s="320" t="s">
        <v>398</v>
      </c>
      <c r="I6" s="319">
        <v>0</v>
      </c>
      <c r="J6" s="323">
        <v>104</v>
      </c>
      <c r="K6" s="324" t="s">
        <v>398</v>
      </c>
      <c r="L6" s="323">
        <v>0</v>
      </c>
      <c r="M6" s="326">
        <v>104</v>
      </c>
      <c r="N6" s="327" t="s">
        <v>398</v>
      </c>
      <c r="O6" s="326">
        <v>1</v>
      </c>
      <c r="P6" s="330">
        <v>104</v>
      </c>
      <c r="Q6" s="331" t="s">
        <v>398</v>
      </c>
      <c r="R6" s="330">
        <v>3</v>
      </c>
    </row>
    <row r="7" spans="1:18" ht="18">
      <c r="A7" s="313">
        <v>105</v>
      </c>
      <c r="B7" s="314" t="s">
        <v>395</v>
      </c>
      <c r="C7" s="313">
        <v>36</v>
      </c>
      <c r="D7" s="316">
        <v>105</v>
      </c>
      <c r="E7" s="317" t="s">
        <v>395</v>
      </c>
      <c r="F7" s="316">
        <v>0</v>
      </c>
      <c r="G7" s="319">
        <v>105</v>
      </c>
      <c r="H7" s="320" t="s">
        <v>395</v>
      </c>
      <c r="I7" s="319">
        <v>1</v>
      </c>
      <c r="J7" s="323">
        <v>105</v>
      </c>
      <c r="K7" s="324" t="s">
        <v>395</v>
      </c>
      <c r="L7" s="323">
        <v>0</v>
      </c>
      <c r="M7" s="326">
        <v>105</v>
      </c>
      <c r="N7" s="327" t="s">
        <v>395</v>
      </c>
      <c r="O7" s="326">
        <v>1</v>
      </c>
      <c r="P7" s="330">
        <v>105</v>
      </c>
      <c r="Q7" s="331" t="s">
        <v>395</v>
      </c>
      <c r="R7" s="330">
        <v>11</v>
      </c>
    </row>
    <row r="8" spans="1:18" ht="18">
      <c r="A8" s="313">
        <v>106</v>
      </c>
      <c r="B8" s="314" t="s">
        <v>390</v>
      </c>
      <c r="C8" s="313">
        <v>12</v>
      </c>
      <c r="D8" s="316">
        <v>106</v>
      </c>
      <c r="E8" s="317" t="s">
        <v>390</v>
      </c>
      <c r="F8" s="316">
        <v>0</v>
      </c>
      <c r="G8" s="319">
        <v>106</v>
      </c>
      <c r="H8" s="320" t="s">
        <v>390</v>
      </c>
      <c r="I8" s="319">
        <v>4</v>
      </c>
      <c r="J8" s="323">
        <v>106</v>
      </c>
      <c r="K8" s="324" t="s">
        <v>390</v>
      </c>
      <c r="L8" s="323">
        <v>0</v>
      </c>
      <c r="M8" s="326">
        <v>106</v>
      </c>
      <c r="N8" s="327" t="s">
        <v>390</v>
      </c>
      <c r="O8" s="326">
        <v>0</v>
      </c>
      <c r="P8" s="330">
        <v>106</v>
      </c>
      <c r="Q8" s="331" t="s">
        <v>390</v>
      </c>
      <c r="R8" s="330">
        <v>2</v>
      </c>
    </row>
    <row r="9" spans="1:18" ht="18">
      <c r="A9" s="313">
        <v>107</v>
      </c>
      <c r="B9" s="314" t="s">
        <v>1235</v>
      </c>
      <c r="C9" s="313">
        <v>17</v>
      </c>
      <c r="D9" s="316">
        <v>107</v>
      </c>
      <c r="E9" s="317" t="s">
        <v>1235</v>
      </c>
      <c r="F9" s="316">
        <v>2</v>
      </c>
      <c r="G9" s="319">
        <v>107</v>
      </c>
      <c r="H9" s="320" t="s">
        <v>1235</v>
      </c>
      <c r="I9" s="319">
        <v>2</v>
      </c>
      <c r="J9" s="323">
        <v>107</v>
      </c>
      <c r="K9" s="324" t="s">
        <v>1235</v>
      </c>
      <c r="L9" s="323">
        <v>0</v>
      </c>
      <c r="M9" s="326">
        <v>107</v>
      </c>
      <c r="N9" s="327" t="s">
        <v>1235</v>
      </c>
      <c r="O9" s="326">
        <v>0</v>
      </c>
      <c r="P9" s="330">
        <v>107</v>
      </c>
      <c r="Q9" s="331" t="s">
        <v>1235</v>
      </c>
      <c r="R9" s="330">
        <v>2</v>
      </c>
    </row>
    <row r="10" spans="1:18" ht="18">
      <c r="A10" s="313">
        <v>112</v>
      </c>
      <c r="B10" s="314" t="s">
        <v>22</v>
      </c>
      <c r="C10" s="313">
        <v>0</v>
      </c>
      <c r="D10" s="316">
        <v>112</v>
      </c>
      <c r="E10" s="317" t="s">
        <v>22</v>
      </c>
      <c r="F10" s="316">
        <v>0</v>
      </c>
      <c r="G10" s="319">
        <v>112</v>
      </c>
      <c r="H10" s="320" t="s">
        <v>22</v>
      </c>
      <c r="I10" s="319">
        <v>0</v>
      </c>
      <c r="J10" s="323">
        <v>112</v>
      </c>
      <c r="K10" s="324" t="s">
        <v>22</v>
      </c>
      <c r="L10" s="323">
        <v>0</v>
      </c>
      <c r="M10" s="326">
        <v>112</v>
      </c>
      <c r="N10" s="327" t="s">
        <v>22</v>
      </c>
      <c r="O10" s="326">
        <v>0</v>
      </c>
      <c r="P10" s="330">
        <v>112</v>
      </c>
      <c r="Q10" s="331" t="s">
        <v>22</v>
      </c>
      <c r="R10" s="330">
        <v>0</v>
      </c>
    </row>
    <row r="11" spans="1:18" ht="18">
      <c r="A11" s="313">
        <v>201</v>
      </c>
      <c r="B11" s="314" t="s">
        <v>1236</v>
      </c>
      <c r="C11" s="313">
        <v>14</v>
      </c>
      <c r="D11" s="316">
        <v>201</v>
      </c>
      <c r="E11" s="317" t="s">
        <v>1236</v>
      </c>
      <c r="F11" s="316">
        <v>0</v>
      </c>
      <c r="G11" s="319">
        <v>201</v>
      </c>
      <c r="H11" s="320" t="s">
        <v>1236</v>
      </c>
      <c r="I11" s="319">
        <v>0</v>
      </c>
      <c r="J11" s="323">
        <v>201</v>
      </c>
      <c r="K11" s="324" t="s">
        <v>1236</v>
      </c>
      <c r="L11" s="323">
        <v>0</v>
      </c>
      <c r="M11" s="326">
        <v>201</v>
      </c>
      <c r="N11" s="327" t="s">
        <v>1236</v>
      </c>
      <c r="O11" s="326">
        <v>0</v>
      </c>
      <c r="P11" s="330">
        <v>201</v>
      </c>
      <c r="Q11" s="331" t="s">
        <v>1236</v>
      </c>
      <c r="R11" s="330">
        <v>2</v>
      </c>
    </row>
    <row r="12" spans="1:18" ht="18">
      <c r="A12" s="313">
        <v>202</v>
      </c>
      <c r="B12" s="314" t="s">
        <v>1237</v>
      </c>
      <c r="C12" s="313">
        <v>10</v>
      </c>
      <c r="D12" s="316">
        <v>202</v>
      </c>
      <c r="E12" s="317" t="s">
        <v>1237</v>
      </c>
      <c r="F12" s="316">
        <v>0</v>
      </c>
      <c r="G12" s="319">
        <v>202</v>
      </c>
      <c r="H12" s="320" t="s">
        <v>1237</v>
      </c>
      <c r="I12" s="319">
        <v>0</v>
      </c>
      <c r="J12" s="323">
        <v>202</v>
      </c>
      <c r="K12" s="324" t="s">
        <v>1237</v>
      </c>
      <c r="L12" s="323">
        <v>0</v>
      </c>
      <c r="M12" s="326">
        <v>202</v>
      </c>
      <c r="N12" s="327" t="s">
        <v>1237</v>
      </c>
      <c r="O12" s="326">
        <v>0</v>
      </c>
      <c r="P12" s="330">
        <v>202</v>
      </c>
      <c r="Q12" s="331" t="s">
        <v>1237</v>
      </c>
      <c r="R12" s="330">
        <v>4</v>
      </c>
    </row>
    <row r="13" spans="1:18" ht="18">
      <c r="A13" s="313">
        <v>203</v>
      </c>
      <c r="B13" s="314" t="s">
        <v>1238</v>
      </c>
      <c r="C13" s="313">
        <v>4</v>
      </c>
      <c r="D13" s="316">
        <v>203</v>
      </c>
      <c r="E13" s="317" t="s">
        <v>1238</v>
      </c>
      <c r="F13" s="316">
        <v>0</v>
      </c>
      <c r="G13" s="319">
        <v>203</v>
      </c>
      <c r="H13" s="320" t="s">
        <v>1238</v>
      </c>
      <c r="I13" s="319">
        <v>0</v>
      </c>
      <c r="J13" s="323">
        <v>203</v>
      </c>
      <c r="K13" s="324" t="s">
        <v>1238</v>
      </c>
      <c r="L13" s="323">
        <v>0</v>
      </c>
      <c r="M13" s="326">
        <v>203</v>
      </c>
      <c r="N13" s="327" t="s">
        <v>1238</v>
      </c>
      <c r="O13" s="326">
        <v>0</v>
      </c>
      <c r="P13" s="330">
        <v>203</v>
      </c>
      <c r="Q13" s="331" t="s">
        <v>1238</v>
      </c>
      <c r="R13" s="330">
        <v>2</v>
      </c>
    </row>
    <row r="14" spans="1:18" ht="18">
      <c r="A14" s="313">
        <v>249</v>
      </c>
      <c r="B14" s="314" t="s">
        <v>1239</v>
      </c>
      <c r="C14" s="313">
        <v>14</v>
      </c>
      <c r="D14" s="316">
        <v>249</v>
      </c>
      <c r="E14" s="317" t="s">
        <v>1239</v>
      </c>
      <c r="F14" s="316">
        <v>0</v>
      </c>
      <c r="G14" s="319">
        <v>249</v>
      </c>
      <c r="H14" s="320" t="s">
        <v>1239</v>
      </c>
      <c r="I14" s="319">
        <v>0</v>
      </c>
      <c r="J14" s="323">
        <v>249</v>
      </c>
      <c r="K14" s="324" t="s">
        <v>1239</v>
      </c>
      <c r="L14" s="323">
        <v>0</v>
      </c>
      <c r="M14" s="326">
        <v>249</v>
      </c>
      <c r="N14" s="327" t="s">
        <v>1239</v>
      </c>
      <c r="O14" s="326">
        <v>0</v>
      </c>
      <c r="P14" s="330">
        <v>249</v>
      </c>
      <c r="Q14" s="331" t="s">
        <v>1239</v>
      </c>
      <c r="R14" s="330">
        <v>0</v>
      </c>
    </row>
    <row r="15" spans="1:18" ht="18">
      <c r="A15" s="313">
        <v>204</v>
      </c>
      <c r="B15" s="314" t="s">
        <v>23</v>
      </c>
      <c r="C15" s="313">
        <v>6</v>
      </c>
      <c r="D15" s="316">
        <v>204</v>
      </c>
      <c r="E15" s="317" t="s">
        <v>23</v>
      </c>
      <c r="F15" s="316">
        <v>0</v>
      </c>
      <c r="G15" s="319">
        <v>204</v>
      </c>
      <c r="H15" s="320" t="s">
        <v>23</v>
      </c>
      <c r="I15" s="319">
        <v>0</v>
      </c>
      <c r="J15" s="323">
        <v>204</v>
      </c>
      <c r="K15" s="324" t="s">
        <v>23</v>
      </c>
      <c r="L15" s="323">
        <v>0</v>
      </c>
      <c r="M15" s="326">
        <v>204</v>
      </c>
      <c r="N15" s="327" t="s">
        <v>23</v>
      </c>
      <c r="O15" s="326">
        <v>0</v>
      </c>
      <c r="P15" s="330">
        <v>204</v>
      </c>
      <c r="Q15" s="331" t="s">
        <v>23</v>
      </c>
      <c r="R15" s="330">
        <v>0</v>
      </c>
    </row>
    <row r="16" spans="1:18" ht="18">
      <c r="A16" s="313">
        <v>207</v>
      </c>
      <c r="B16" s="314" t="s">
        <v>1240</v>
      </c>
      <c r="C16" s="313">
        <v>4</v>
      </c>
      <c r="D16" s="316">
        <v>207</v>
      </c>
      <c r="E16" s="317" t="s">
        <v>1240</v>
      </c>
      <c r="F16" s="316">
        <v>0</v>
      </c>
      <c r="G16" s="319">
        <v>207</v>
      </c>
      <c r="H16" s="320" t="s">
        <v>1240</v>
      </c>
      <c r="I16" s="319">
        <v>0</v>
      </c>
      <c r="J16" s="323">
        <v>207</v>
      </c>
      <c r="K16" s="324" t="s">
        <v>1240</v>
      </c>
      <c r="L16" s="323">
        <v>0</v>
      </c>
      <c r="M16" s="326">
        <v>207</v>
      </c>
      <c r="N16" s="327" t="s">
        <v>1240</v>
      </c>
      <c r="O16" s="326">
        <v>0</v>
      </c>
      <c r="P16" s="330">
        <v>207</v>
      </c>
      <c r="Q16" s="331" t="s">
        <v>1240</v>
      </c>
      <c r="R16" s="330">
        <v>4</v>
      </c>
    </row>
    <row r="17" spans="1:18" ht="18">
      <c r="A17" s="313">
        <v>205</v>
      </c>
      <c r="B17" s="314" t="s">
        <v>1241</v>
      </c>
      <c r="C17" s="313">
        <v>17</v>
      </c>
      <c r="D17" s="316">
        <v>205</v>
      </c>
      <c r="E17" s="317" t="s">
        <v>1241</v>
      </c>
      <c r="F17" s="316">
        <v>0</v>
      </c>
      <c r="G17" s="319">
        <v>205</v>
      </c>
      <c r="H17" s="320" t="s">
        <v>1241</v>
      </c>
      <c r="I17" s="319">
        <v>0</v>
      </c>
      <c r="J17" s="323">
        <v>205</v>
      </c>
      <c r="K17" s="324" t="s">
        <v>1241</v>
      </c>
      <c r="L17" s="323">
        <v>0</v>
      </c>
      <c r="M17" s="326">
        <v>205</v>
      </c>
      <c r="N17" s="327" t="s">
        <v>1241</v>
      </c>
      <c r="O17" s="326">
        <v>0</v>
      </c>
      <c r="P17" s="330">
        <v>205</v>
      </c>
      <c r="Q17" s="331" t="s">
        <v>1241</v>
      </c>
      <c r="R17" s="330">
        <v>0</v>
      </c>
    </row>
    <row r="18" spans="1:18" ht="18">
      <c r="A18" s="313">
        <v>206</v>
      </c>
      <c r="B18" s="314" t="s">
        <v>1242</v>
      </c>
      <c r="C18" s="313">
        <v>12</v>
      </c>
      <c r="D18" s="316">
        <v>206</v>
      </c>
      <c r="E18" s="317" t="s">
        <v>1242</v>
      </c>
      <c r="F18" s="316">
        <v>0</v>
      </c>
      <c r="G18" s="319">
        <v>206</v>
      </c>
      <c r="H18" s="320" t="s">
        <v>1242</v>
      </c>
      <c r="I18" s="319">
        <v>0</v>
      </c>
      <c r="J18" s="323">
        <v>206</v>
      </c>
      <c r="K18" s="324" t="s">
        <v>1242</v>
      </c>
      <c r="L18" s="323">
        <v>0</v>
      </c>
      <c r="M18" s="326">
        <v>206</v>
      </c>
      <c r="N18" s="327" t="s">
        <v>1242</v>
      </c>
      <c r="O18" s="326">
        <v>0</v>
      </c>
      <c r="P18" s="330">
        <v>206</v>
      </c>
      <c r="Q18" s="331" t="s">
        <v>1242</v>
      </c>
      <c r="R18" s="330">
        <v>4</v>
      </c>
    </row>
    <row r="19" spans="1:18" ht="18">
      <c r="A19" s="313">
        <v>250</v>
      </c>
      <c r="B19" s="314" t="s">
        <v>24</v>
      </c>
      <c r="C19" s="313">
        <v>0</v>
      </c>
      <c r="D19" s="316">
        <v>250</v>
      </c>
      <c r="E19" s="317" t="s">
        <v>24</v>
      </c>
      <c r="F19" s="316">
        <v>0</v>
      </c>
      <c r="G19" s="319">
        <v>250</v>
      </c>
      <c r="H19" s="320" t="s">
        <v>24</v>
      </c>
      <c r="I19" s="319">
        <v>0</v>
      </c>
      <c r="J19" s="323">
        <v>250</v>
      </c>
      <c r="K19" s="324" t="s">
        <v>24</v>
      </c>
      <c r="L19" s="323">
        <v>0</v>
      </c>
      <c r="M19" s="326">
        <v>250</v>
      </c>
      <c r="N19" s="327" t="s">
        <v>24</v>
      </c>
      <c r="O19" s="326">
        <v>0</v>
      </c>
      <c r="P19" s="330">
        <v>250</v>
      </c>
      <c r="Q19" s="331" t="s">
        <v>24</v>
      </c>
      <c r="R19" s="330">
        <v>0</v>
      </c>
    </row>
    <row r="20" spans="1:18" ht="18">
      <c r="A20" s="313">
        <v>208</v>
      </c>
      <c r="B20" s="314" t="s">
        <v>1243</v>
      </c>
      <c r="C20" s="313">
        <v>4</v>
      </c>
      <c r="D20" s="316">
        <v>208</v>
      </c>
      <c r="E20" s="317" t="s">
        <v>1243</v>
      </c>
      <c r="F20" s="316">
        <v>0</v>
      </c>
      <c r="G20" s="319">
        <v>208</v>
      </c>
      <c r="H20" s="320" t="s">
        <v>1243</v>
      </c>
      <c r="I20" s="319">
        <v>0</v>
      </c>
      <c r="J20" s="323">
        <v>208</v>
      </c>
      <c r="K20" s="324" t="s">
        <v>1243</v>
      </c>
      <c r="L20" s="323">
        <v>0</v>
      </c>
      <c r="M20" s="326">
        <v>208</v>
      </c>
      <c r="N20" s="327" t="s">
        <v>1243</v>
      </c>
      <c r="O20" s="326">
        <v>0</v>
      </c>
      <c r="P20" s="330">
        <v>208</v>
      </c>
      <c r="Q20" s="331" t="s">
        <v>1243</v>
      </c>
      <c r="R20" s="330">
        <v>0</v>
      </c>
    </row>
    <row r="21" spans="1:18" ht="18">
      <c r="A21" s="313">
        <v>209</v>
      </c>
      <c r="B21" s="314" t="s">
        <v>1244</v>
      </c>
      <c r="C21" s="313">
        <v>4</v>
      </c>
      <c r="D21" s="316">
        <v>209</v>
      </c>
      <c r="E21" s="317" t="s">
        <v>1244</v>
      </c>
      <c r="F21" s="316">
        <v>0</v>
      </c>
      <c r="G21" s="319">
        <v>209</v>
      </c>
      <c r="H21" s="320" t="s">
        <v>1244</v>
      </c>
      <c r="I21" s="319">
        <v>0</v>
      </c>
      <c r="J21" s="323">
        <v>209</v>
      </c>
      <c r="K21" s="324" t="s">
        <v>1244</v>
      </c>
      <c r="L21" s="323">
        <v>0</v>
      </c>
      <c r="M21" s="326">
        <v>209</v>
      </c>
      <c r="N21" s="327" t="s">
        <v>1244</v>
      </c>
      <c r="O21" s="326">
        <v>0</v>
      </c>
      <c r="P21" s="330">
        <v>209</v>
      </c>
      <c r="Q21" s="331" t="s">
        <v>1244</v>
      </c>
      <c r="R21" s="330">
        <v>0</v>
      </c>
    </row>
    <row r="22" spans="1:18" ht="18">
      <c r="A22" s="313">
        <v>210</v>
      </c>
      <c r="B22" s="314" t="s">
        <v>25</v>
      </c>
      <c r="C22" s="313">
        <v>12</v>
      </c>
      <c r="D22" s="316">
        <v>210</v>
      </c>
      <c r="E22" s="317" t="s">
        <v>25</v>
      </c>
      <c r="F22" s="316">
        <v>0</v>
      </c>
      <c r="G22" s="319">
        <v>210</v>
      </c>
      <c r="H22" s="320" t="s">
        <v>25</v>
      </c>
      <c r="I22" s="319">
        <v>0</v>
      </c>
      <c r="J22" s="323">
        <v>210</v>
      </c>
      <c r="K22" s="324" t="s">
        <v>25</v>
      </c>
      <c r="L22" s="323">
        <v>0</v>
      </c>
      <c r="M22" s="326">
        <v>210</v>
      </c>
      <c r="N22" s="327" t="s">
        <v>25</v>
      </c>
      <c r="O22" s="326">
        <v>0</v>
      </c>
      <c r="P22" s="330">
        <v>210</v>
      </c>
      <c r="Q22" s="331" t="s">
        <v>25</v>
      </c>
      <c r="R22" s="330">
        <v>2</v>
      </c>
    </row>
    <row r="23" spans="1:18" ht="18">
      <c r="A23" s="313">
        <v>211</v>
      </c>
      <c r="B23" s="314" t="s">
        <v>1245</v>
      </c>
      <c r="C23" s="313">
        <v>11</v>
      </c>
      <c r="D23" s="316">
        <v>211</v>
      </c>
      <c r="E23" s="317" t="s">
        <v>1245</v>
      </c>
      <c r="F23" s="316">
        <v>0</v>
      </c>
      <c r="G23" s="319">
        <v>211</v>
      </c>
      <c r="H23" s="320" t="s">
        <v>1245</v>
      </c>
      <c r="I23" s="319">
        <v>0</v>
      </c>
      <c r="J23" s="323">
        <v>211</v>
      </c>
      <c r="K23" s="324" t="s">
        <v>1245</v>
      </c>
      <c r="L23" s="323">
        <v>0</v>
      </c>
      <c r="M23" s="326">
        <v>211</v>
      </c>
      <c r="N23" s="327" t="s">
        <v>1245</v>
      </c>
      <c r="O23" s="326">
        <v>0</v>
      </c>
      <c r="P23" s="330">
        <v>211</v>
      </c>
      <c r="Q23" s="331" t="s">
        <v>1245</v>
      </c>
      <c r="R23" s="330">
        <v>4</v>
      </c>
    </row>
    <row r="24" spans="1:18" ht="18">
      <c r="A24" s="313">
        <v>212</v>
      </c>
      <c r="B24" s="314" t="s">
        <v>1246</v>
      </c>
      <c r="C24" s="313">
        <v>16</v>
      </c>
      <c r="D24" s="316">
        <v>212</v>
      </c>
      <c r="E24" s="317" t="s">
        <v>1246</v>
      </c>
      <c r="F24" s="316">
        <v>0</v>
      </c>
      <c r="G24" s="319">
        <v>212</v>
      </c>
      <c r="H24" s="320" t="s">
        <v>1246</v>
      </c>
      <c r="I24" s="319">
        <v>1</v>
      </c>
      <c r="J24" s="323">
        <v>212</v>
      </c>
      <c r="K24" s="324" t="s">
        <v>1246</v>
      </c>
      <c r="L24" s="323">
        <v>0</v>
      </c>
      <c r="M24" s="326">
        <v>212</v>
      </c>
      <c r="N24" s="327" t="s">
        <v>1246</v>
      </c>
      <c r="O24" s="326">
        <v>0</v>
      </c>
      <c r="P24" s="330">
        <v>212</v>
      </c>
      <c r="Q24" s="331" t="s">
        <v>1246</v>
      </c>
      <c r="R24" s="330">
        <v>0</v>
      </c>
    </row>
    <row r="25" spans="1:18" ht="18">
      <c r="A25" s="313">
        <v>213</v>
      </c>
      <c r="B25" s="314" t="s">
        <v>1247</v>
      </c>
      <c r="C25" s="313">
        <v>4</v>
      </c>
      <c r="D25" s="316">
        <v>213</v>
      </c>
      <c r="E25" s="317" t="s">
        <v>1247</v>
      </c>
      <c r="F25" s="316">
        <v>0</v>
      </c>
      <c r="G25" s="319">
        <v>213</v>
      </c>
      <c r="H25" s="320" t="s">
        <v>1247</v>
      </c>
      <c r="I25" s="319">
        <v>2</v>
      </c>
      <c r="J25" s="323">
        <v>213</v>
      </c>
      <c r="K25" s="324" t="s">
        <v>1247</v>
      </c>
      <c r="L25" s="323">
        <v>0</v>
      </c>
      <c r="M25" s="326">
        <v>213</v>
      </c>
      <c r="N25" s="327" t="s">
        <v>1247</v>
      </c>
      <c r="O25" s="326">
        <v>0</v>
      </c>
      <c r="P25" s="330">
        <v>213</v>
      </c>
      <c r="Q25" s="331" t="s">
        <v>1247</v>
      </c>
      <c r="R25" s="330">
        <v>1</v>
      </c>
    </row>
    <row r="26" spans="1:18" ht="18">
      <c r="A26" s="313">
        <v>83</v>
      </c>
      <c r="B26" s="314" t="s">
        <v>26</v>
      </c>
      <c r="C26" s="313">
        <v>8</v>
      </c>
      <c r="D26" s="316">
        <v>83</v>
      </c>
      <c r="E26" s="317" t="s">
        <v>26</v>
      </c>
      <c r="F26" s="316">
        <v>0</v>
      </c>
      <c r="G26" s="319">
        <v>83</v>
      </c>
      <c r="H26" s="320" t="s">
        <v>26</v>
      </c>
      <c r="I26" s="319">
        <v>0</v>
      </c>
      <c r="J26" s="323">
        <v>83</v>
      </c>
      <c r="K26" s="324" t="s">
        <v>26</v>
      </c>
      <c r="L26" s="323">
        <v>0</v>
      </c>
      <c r="M26" s="326">
        <v>83</v>
      </c>
      <c r="N26" s="327" t="s">
        <v>26</v>
      </c>
      <c r="O26" s="326">
        <v>0</v>
      </c>
      <c r="P26" s="330">
        <v>83</v>
      </c>
      <c r="Q26" s="331" t="s">
        <v>26</v>
      </c>
      <c r="R26" s="330">
        <v>0</v>
      </c>
    </row>
    <row r="27" spans="1:18" ht="18">
      <c r="A27" s="313">
        <v>66</v>
      </c>
      <c r="B27" s="314" t="s">
        <v>27</v>
      </c>
      <c r="C27" s="313">
        <v>12</v>
      </c>
      <c r="D27" s="316">
        <v>66</v>
      </c>
      <c r="E27" s="317" t="s">
        <v>27</v>
      </c>
      <c r="F27" s="316">
        <v>0</v>
      </c>
      <c r="G27" s="319">
        <v>66</v>
      </c>
      <c r="H27" s="320" t="s">
        <v>27</v>
      </c>
      <c r="I27" s="319">
        <v>0</v>
      </c>
      <c r="J27" s="323">
        <v>66</v>
      </c>
      <c r="K27" s="324" t="s">
        <v>27</v>
      </c>
      <c r="L27" s="323">
        <v>0</v>
      </c>
      <c r="M27" s="326">
        <v>66</v>
      </c>
      <c r="N27" s="327" t="s">
        <v>27</v>
      </c>
      <c r="O27" s="326">
        <v>0</v>
      </c>
      <c r="P27" s="330">
        <v>66</v>
      </c>
      <c r="Q27" s="331" t="s">
        <v>27</v>
      </c>
      <c r="R27" s="330">
        <v>2</v>
      </c>
    </row>
    <row r="28" spans="1:18" ht="18">
      <c r="A28" s="313">
        <v>214</v>
      </c>
      <c r="B28" s="314" t="s">
        <v>28</v>
      </c>
      <c r="C28" s="313">
        <v>0</v>
      </c>
      <c r="D28" s="316">
        <v>214</v>
      </c>
      <c r="E28" s="317" t="s">
        <v>28</v>
      </c>
      <c r="F28" s="316">
        <v>0</v>
      </c>
      <c r="G28" s="319">
        <v>214</v>
      </c>
      <c r="H28" s="320" t="s">
        <v>28</v>
      </c>
      <c r="I28" s="319">
        <v>0</v>
      </c>
      <c r="J28" s="323">
        <v>214</v>
      </c>
      <c r="K28" s="324" t="s">
        <v>28</v>
      </c>
      <c r="L28" s="323">
        <v>0</v>
      </c>
      <c r="M28" s="326">
        <v>214</v>
      </c>
      <c r="N28" s="327" t="s">
        <v>28</v>
      </c>
      <c r="O28" s="326">
        <v>0</v>
      </c>
      <c r="P28" s="330">
        <v>214</v>
      </c>
      <c r="Q28" s="331" t="s">
        <v>28</v>
      </c>
      <c r="R28" s="330">
        <v>0</v>
      </c>
    </row>
    <row r="29" spans="1:18" ht="18">
      <c r="A29" s="313">
        <v>215</v>
      </c>
      <c r="B29" s="314" t="s">
        <v>1248</v>
      </c>
      <c r="C29" s="313">
        <v>6</v>
      </c>
      <c r="D29" s="316">
        <v>215</v>
      </c>
      <c r="E29" s="317" t="s">
        <v>1248</v>
      </c>
      <c r="F29" s="316">
        <v>0</v>
      </c>
      <c r="G29" s="319">
        <v>215</v>
      </c>
      <c r="H29" s="320" t="s">
        <v>1248</v>
      </c>
      <c r="I29" s="319">
        <v>0</v>
      </c>
      <c r="J29" s="323">
        <v>215</v>
      </c>
      <c r="K29" s="324" t="s">
        <v>1248</v>
      </c>
      <c r="L29" s="323">
        <v>0</v>
      </c>
      <c r="M29" s="326">
        <v>215</v>
      </c>
      <c r="N29" s="327" t="s">
        <v>1248</v>
      </c>
      <c r="O29" s="326">
        <v>0</v>
      </c>
      <c r="P29" s="330">
        <v>215</v>
      </c>
      <c r="Q29" s="331" t="s">
        <v>1248</v>
      </c>
      <c r="R29" s="330">
        <v>0</v>
      </c>
    </row>
    <row r="30" spans="1:18" ht="18">
      <c r="A30" s="313">
        <v>216</v>
      </c>
      <c r="B30" s="314" t="s">
        <v>29</v>
      </c>
      <c r="C30" s="313">
        <v>5</v>
      </c>
      <c r="D30" s="316">
        <v>216</v>
      </c>
      <c r="E30" s="317" t="s">
        <v>29</v>
      </c>
      <c r="F30" s="316">
        <v>0</v>
      </c>
      <c r="G30" s="319">
        <v>216</v>
      </c>
      <c r="H30" s="320" t="s">
        <v>29</v>
      </c>
      <c r="I30" s="319">
        <v>1</v>
      </c>
      <c r="J30" s="323">
        <v>216</v>
      </c>
      <c r="K30" s="324" t="s">
        <v>29</v>
      </c>
      <c r="L30" s="323">
        <v>0</v>
      </c>
      <c r="M30" s="326">
        <v>216</v>
      </c>
      <c r="N30" s="327" t="s">
        <v>29</v>
      </c>
      <c r="O30" s="326">
        <v>0</v>
      </c>
      <c r="P30" s="330">
        <v>216</v>
      </c>
      <c r="Q30" s="331" t="s">
        <v>29</v>
      </c>
      <c r="R30" s="330">
        <v>0</v>
      </c>
    </row>
    <row r="31" spans="1:18" ht="18">
      <c r="A31" s="313">
        <v>217</v>
      </c>
      <c r="B31" s="314" t="s">
        <v>1249</v>
      </c>
      <c r="C31" s="313">
        <v>8</v>
      </c>
      <c r="D31" s="316">
        <v>217</v>
      </c>
      <c r="E31" s="317" t="s">
        <v>1249</v>
      </c>
      <c r="F31" s="316">
        <v>0</v>
      </c>
      <c r="G31" s="319">
        <v>217</v>
      </c>
      <c r="H31" s="320" t="s">
        <v>1249</v>
      </c>
      <c r="I31" s="319">
        <v>0</v>
      </c>
      <c r="J31" s="323">
        <v>217</v>
      </c>
      <c r="K31" s="324" t="s">
        <v>1249</v>
      </c>
      <c r="L31" s="323">
        <v>0</v>
      </c>
      <c r="M31" s="326">
        <v>217</v>
      </c>
      <c r="N31" s="327" t="s">
        <v>1249</v>
      </c>
      <c r="O31" s="326">
        <v>0</v>
      </c>
      <c r="P31" s="330">
        <v>217</v>
      </c>
      <c r="Q31" s="331" t="s">
        <v>1249</v>
      </c>
      <c r="R31" s="330">
        <v>3</v>
      </c>
    </row>
    <row r="32" spans="1:18" ht="18">
      <c r="A32" s="313">
        <v>218</v>
      </c>
      <c r="B32" s="314" t="s">
        <v>1250</v>
      </c>
      <c r="C32" s="313">
        <v>2</v>
      </c>
      <c r="D32" s="316">
        <v>218</v>
      </c>
      <c r="E32" s="317" t="s">
        <v>1250</v>
      </c>
      <c r="F32" s="316">
        <v>0</v>
      </c>
      <c r="G32" s="319">
        <v>218</v>
      </c>
      <c r="H32" s="320" t="s">
        <v>1250</v>
      </c>
      <c r="I32" s="319">
        <v>0</v>
      </c>
      <c r="J32" s="323">
        <v>218</v>
      </c>
      <c r="K32" s="324" t="s">
        <v>1250</v>
      </c>
      <c r="L32" s="323">
        <v>0</v>
      </c>
      <c r="M32" s="326">
        <v>218</v>
      </c>
      <c r="N32" s="327" t="s">
        <v>1250</v>
      </c>
      <c r="O32" s="326">
        <v>0</v>
      </c>
      <c r="P32" s="330">
        <v>218</v>
      </c>
      <c r="Q32" s="331" t="s">
        <v>1250</v>
      </c>
      <c r="R32" s="330">
        <v>0</v>
      </c>
    </row>
    <row r="33" spans="1:18" ht="18">
      <c r="A33" s="313">
        <v>219</v>
      </c>
      <c r="B33" s="314" t="s">
        <v>30</v>
      </c>
      <c r="C33" s="313">
        <v>16</v>
      </c>
      <c r="D33" s="316">
        <v>219</v>
      </c>
      <c r="E33" s="317" t="s">
        <v>30</v>
      </c>
      <c r="F33" s="316">
        <v>0</v>
      </c>
      <c r="G33" s="319">
        <v>219</v>
      </c>
      <c r="H33" s="320" t="s">
        <v>30</v>
      </c>
      <c r="I33" s="319">
        <v>1</v>
      </c>
      <c r="J33" s="323">
        <v>219</v>
      </c>
      <c r="K33" s="324" t="s">
        <v>30</v>
      </c>
      <c r="L33" s="323">
        <v>0</v>
      </c>
      <c r="M33" s="326">
        <v>219</v>
      </c>
      <c r="N33" s="327" t="s">
        <v>30</v>
      </c>
      <c r="O33" s="326">
        <v>0</v>
      </c>
      <c r="P33" s="330">
        <v>219</v>
      </c>
      <c r="Q33" s="331" t="s">
        <v>30</v>
      </c>
      <c r="R33" s="330">
        <v>8</v>
      </c>
    </row>
    <row r="34" spans="1:18" ht="18">
      <c r="A34" s="313">
        <v>220</v>
      </c>
      <c r="B34" s="314" t="s">
        <v>1251</v>
      </c>
      <c r="C34" s="313">
        <v>4</v>
      </c>
      <c r="D34" s="316">
        <v>220</v>
      </c>
      <c r="E34" s="317" t="s">
        <v>1251</v>
      </c>
      <c r="F34" s="316">
        <v>0</v>
      </c>
      <c r="G34" s="319">
        <v>220</v>
      </c>
      <c r="H34" s="320" t="s">
        <v>1251</v>
      </c>
      <c r="I34" s="319">
        <v>0</v>
      </c>
      <c r="J34" s="323">
        <v>220</v>
      </c>
      <c r="K34" s="324" t="s">
        <v>1251</v>
      </c>
      <c r="L34" s="323">
        <v>0</v>
      </c>
      <c r="M34" s="326">
        <v>220</v>
      </c>
      <c r="N34" s="327" t="s">
        <v>1251</v>
      </c>
      <c r="O34" s="326">
        <v>0</v>
      </c>
      <c r="P34" s="330">
        <v>220</v>
      </c>
      <c r="Q34" s="331" t="s">
        <v>1251</v>
      </c>
      <c r="R34" s="330">
        <v>0</v>
      </c>
    </row>
    <row r="35" spans="1:18" ht="18">
      <c r="A35" s="313">
        <v>221</v>
      </c>
      <c r="B35" s="314" t="s">
        <v>1252</v>
      </c>
      <c r="C35" s="313">
        <v>12</v>
      </c>
      <c r="D35" s="316">
        <v>221</v>
      </c>
      <c r="E35" s="317" t="s">
        <v>1252</v>
      </c>
      <c r="F35" s="316">
        <v>0</v>
      </c>
      <c r="G35" s="319">
        <v>221</v>
      </c>
      <c r="H35" s="320" t="s">
        <v>1252</v>
      </c>
      <c r="I35" s="319">
        <v>0</v>
      </c>
      <c r="J35" s="323">
        <v>221</v>
      </c>
      <c r="K35" s="324" t="s">
        <v>1252</v>
      </c>
      <c r="L35" s="323">
        <v>0</v>
      </c>
      <c r="M35" s="326">
        <v>221</v>
      </c>
      <c r="N35" s="327" t="s">
        <v>1252</v>
      </c>
      <c r="O35" s="326">
        <v>1</v>
      </c>
      <c r="P35" s="330">
        <v>221</v>
      </c>
      <c r="Q35" s="331" t="s">
        <v>1252</v>
      </c>
      <c r="R35" s="330">
        <v>2</v>
      </c>
    </row>
    <row r="36" spans="1:18" ht="18">
      <c r="A36" s="313">
        <v>222</v>
      </c>
      <c r="B36" s="314" t="s">
        <v>1253</v>
      </c>
      <c r="C36" s="313">
        <v>8</v>
      </c>
      <c r="D36" s="316">
        <v>222</v>
      </c>
      <c r="E36" s="317" t="s">
        <v>1253</v>
      </c>
      <c r="F36" s="316">
        <v>0</v>
      </c>
      <c r="G36" s="319">
        <v>222</v>
      </c>
      <c r="H36" s="320" t="s">
        <v>1253</v>
      </c>
      <c r="I36" s="319">
        <v>0</v>
      </c>
      <c r="J36" s="323">
        <v>222</v>
      </c>
      <c r="K36" s="324" t="s">
        <v>1253</v>
      </c>
      <c r="L36" s="323">
        <v>0</v>
      </c>
      <c r="M36" s="326">
        <v>222</v>
      </c>
      <c r="N36" s="327" t="s">
        <v>1253</v>
      </c>
      <c r="O36" s="326">
        <v>0</v>
      </c>
      <c r="P36" s="330">
        <v>222</v>
      </c>
      <c r="Q36" s="331" t="s">
        <v>1253</v>
      </c>
      <c r="R36" s="330">
        <v>0</v>
      </c>
    </row>
    <row r="37" spans="1:18" ht="18">
      <c r="A37" s="313">
        <v>223</v>
      </c>
      <c r="B37" s="314" t="s">
        <v>1254</v>
      </c>
      <c r="C37" s="313">
        <v>6</v>
      </c>
      <c r="D37" s="316">
        <v>223</v>
      </c>
      <c r="E37" s="317" t="s">
        <v>1254</v>
      </c>
      <c r="F37" s="316">
        <v>0</v>
      </c>
      <c r="G37" s="319">
        <v>223</v>
      </c>
      <c r="H37" s="320" t="s">
        <v>1254</v>
      </c>
      <c r="I37" s="319">
        <v>0</v>
      </c>
      <c r="J37" s="323">
        <v>223</v>
      </c>
      <c r="K37" s="324" t="s">
        <v>1254</v>
      </c>
      <c r="L37" s="323">
        <v>0</v>
      </c>
      <c r="M37" s="326">
        <v>223</v>
      </c>
      <c r="N37" s="327" t="s">
        <v>1254</v>
      </c>
      <c r="O37" s="326">
        <v>0</v>
      </c>
      <c r="P37" s="330">
        <v>223</v>
      </c>
      <c r="Q37" s="331" t="s">
        <v>1254</v>
      </c>
      <c r="R37" s="330">
        <v>0</v>
      </c>
    </row>
    <row r="38" spans="1:18" ht="18">
      <c r="A38" s="313">
        <v>224</v>
      </c>
      <c r="B38" s="314" t="s">
        <v>1255</v>
      </c>
      <c r="C38" s="313">
        <v>4</v>
      </c>
      <c r="D38" s="316">
        <v>224</v>
      </c>
      <c r="E38" s="317" t="s">
        <v>1255</v>
      </c>
      <c r="F38" s="316">
        <v>0</v>
      </c>
      <c r="G38" s="319">
        <v>224</v>
      </c>
      <c r="H38" s="320" t="s">
        <v>1255</v>
      </c>
      <c r="I38" s="319">
        <v>0</v>
      </c>
      <c r="J38" s="323">
        <v>224</v>
      </c>
      <c r="K38" s="324" t="s">
        <v>1255</v>
      </c>
      <c r="L38" s="323">
        <v>0</v>
      </c>
      <c r="M38" s="326">
        <v>224</v>
      </c>
      <c r="N38" s="327" t="s">
        <v>1255</v>
      </c>
      <c r="O38" s="326">
        <v>0</v>
      </c>
      <c r="P38" s="330">
        <v>224</v>
      </c>
      <c r="Q38" s="331" t="s">
        <v>1255</v>
      </c>
      <c r="R38" s="330">
        <v>0</v>
      </c>
    </row>
    <row r="39" spans="1:18" ht="18">
      <c r="A39" s="313">
        <v>245</v>
      </c>
      <c r="B39" s="314" t="s">
        <v>31</v>
      </c>
      <c r="C39" s="315">
        <v>21</v>
      </c>
      <c r="D39" s="316">
        <v>245</v>
      </c>
      <c r="E39" s="317" t="s">
        <v>31</v>
      </c>
      <c r="F39" s="318">
        <v>0</v>
      </c>
      <c r="G39" s="319">
        <v>245</v>
      </c>
      <c r="H39" s="320" t="s">
        <v>31</v>
      </c>
      <c r="I39" s="321">
        <v>0</v>
      </c>
      <c r="J39" s="323">
        <v>245</v>
      </c>
      <c r="K39" s="324" t="s">
        <v>31</v>
      </c>
      <c r="L39" s="325">
        <v>0</v>
      </c>
      <c r="M39" s="326">
        <v>245</v>
      </c>
      <c r="N39" s="327" t="s">
        <v>31</v>
      </c>
      <c r="O39" s="328">
        <v>2</v>
      </c>
      <c r="P39" s="330">
        <v>245</v>
      </c>
      <c r="Q39" s="331" t="s">
        <v>31</v>
      </c>
      <c r="R39" s="332">
        <v>3</v>
      </c>
    </row>
    <row r="40" spans="1:18" ht="18">
      <c r="A40" s="313">
        <v>225</v>
      </c>
      <c r="B40" s="314" t="s">
        <v>1256</v>
      </c>
      <c r="C40" s="313">
        <v>9</v>
      </c>
      <c r="D40" s="316">
        <v>225</v>
      </c>
      <c r="E40" s="317" t="s">
        <v>1256</v>
      </c>
      <c r="F40" s="316">
        <v>0</v>
      </c>
      <c r="G40" s="319">
        <v>225</v>
      </c>
      <c r="H40" s="320" t="s">
        <v>1256</v>
      </c>
      <c r="I40" s="319">
        <v>0</v>
      </c>
      <c r="J40" s="323">
        <v>225</v>
      </c>
      <c r="K40" s="324" t="s">
        <v>1256</v>
      </c>
      <c r="L40" s="323">
        <v>0</v>
      </c>
      <c r="M40" s="326">
        <v>225</v>
      </c>
      <c r="N40" s="327" t="s">
        <v>1256</v>
      </c>
      <c r="O40" s="326">
        <v>0</v>
      </c>
      <c r="P40" s="330">
        <v>225</v>
      </c>
      <c r="Q40" s="331" t="s">
        <v>1256</v>
      </c>
      <c r="R40" s="330">
        <v>1</v>
      </c>
    </row>
    <row r="41" spans="1:18" ht="18">
      <c r="A41" s="313">
        <v>226</v>
      </c>
      <c r="B41" s="314" t="s">
        <v>32</v>
      </c>
      <c r="C41" s="313">
        <v>27</v>
      </c>
      <c r="D41" s="316">
        <v>226</v>
      </c>
      <c r="E41" s="317" t="s">
        <v>32</v>
      </c>
      <c r="F41" s="316">
        <v>0</v>
      </c>
      <c r="G41" s="319">
        <v>226</v>
      </c>
      <c r="H41" s="320" t="s">
        <v>32</v>
      </c>
      <c r="I41" s="319">
        <v>0</v>
      </c>
      <c r="J41" s="323">
        <v>226</v>
      </c>
      <c r="K41" s="324" t="s">
        <v>32</v>
      </c>
      <c r="L41" s="323">
        <v>0</v>
      </c>
      <c r="M41" s="326">
        <v>226</v>
      </c>
      <c r="N41" s="327" t="s">
        <v>32</v>
      </c>
      <c r="O41" s="326">
        <v>0</v>
      </c>
      <c r="P41" s="330">
        <v>226</v>
      </c>
      <c r="Q41" s="331" t="s">
        <v>32</v>
      </c>
      <c r="R41" s="330">
        <v>5</v>
      </c>
    </row>
    <row r="42" spans="1:18" ht="18">
      <c r="A42" s="313">
        <v>227</v>
      </c>
      <c r="B42" s="314" t="s">
        <v>1257</v>
      </c>
      <c r="C42" s="313">
        <v>6</v>
      </c>
      <c r="D42" s="316">
        <v>227</v>
      </c>
      <c r="E42" s="317" t="s">
        <v>1257</v>
      </c>
      <c r="F42" s="316">
        <v>0</v>
      </c>
      <c r="G42" s="319">
        <v>227</v>
      </c>
      <c r="H42" s="320" t="s">
        <v>1257</v>
      </c>
      <c r="I42" s="319">
        <v>0</v>
      </c>
      <c r="J42" s="323">
        <v>227</v>
      </c>
      <c r="K42" s="324" t="s">
        <v>1257</v>
      </c>
      <c r="L42" s="323">
        <v>0</v>
      </c>
      <c r="M42" s="326">
        <v>227</v>
      </c>
      <c r="N42" s="327" t="s">
        <v>1257</v>
      </c>
      <c r="O42" s="326">
        <v>0</v>
      </c>
      <c r="P42" s="330">
        <v>227</v>
      </c>
      <c r="Q42" s="331" t="s">
        <v>1257</v>
      </c>
      <c r="R42" s="330">
        <v>0</v>
      </c>
    </row>
    <row r="43" spans="1:18" ht="18">
      <c r="A43" s="313">
        <v>228</v>
      </c>
      <c r="B43" s="314" t="s">
        <v>1258</v>
      </c>
      <c r="C43" s="313">
        <v>4</v>
      </c>
      <c r="D43" s="316">
        <v>228</v>
      </c>
      <c r="E43" s="317" t="s">
        <v>1258</v>
      </c>
      <c r="F43" s="316">
        <v>0</v>
      </c>
      <c r="G43" s="319">
        <v>228</v>
      </c>
      <c r="H43" s="320" t="s">
        <v>1258</v>
      </c>
      <c r="I43" s="319">
        <v>0</v>
      </c>
      <c r="J43" s="323">
        <v>228</v>
      </c>
      <c r="K43" s="324" t="s">
        <v>1258</v>
      </c>
      <c r="L43" s="323">
        <v>0</v>
      </c>
      <c r="M43" s="326">
        <v>228</v>
      </c>
      <c r="N43" s="327" t="s">
        <v>1258</v>
      </c>
      <c r="O43" s="326">
        <v>0</v>
      </c>
      <c r="P43" s="330">
        <v>228</v>
      </c>
      <c r="Q43" s="331" t="s">
        <v>1258</v>
      </c>
      <c r="R43" s="330">
        <v>0</v>
      </c>
    </row>
    <row r="44" spans="1:18" ht="18">
      <c r="A44" s="313">
        <v>229</v>
      </c>
      <c r="B44" s="314" t="s">
        <v>1259</v>
      </c>
      <c r="C44" s="313">
        <v>8</v>
      </c>
      <c r="D44" s="316">
        <v>229</v>
      </c>
      <c r="E44" s="317" t="s">
        <v>1259</v>
      </c>
      <c r="F44" s="316">
        <v>0</v>
      </c>
      <c r="G44" s="319">
        <v>229</v>
      </c>
      <c r="H44" s="320" t="s">
        <v>1259</v>
      </c>
      <c r="I44" s="319">
        <v>0</v>
      </c>
      <c r="J44" s="323">
        <v>229</v>
      </c>
      <c r="K44" s="324" t="s">
        <v>1259</v>
      </c>
      <c r="L44" s="323">
        <v>0</v>
      </c>
      <c r="M44" s="326">
        <v>229</v>
      </c>
      <c r="N44" s="327" t="s">
        <v>1259</v>
      </c>
      <c r="O44" s="326">
        <v>0</v>
      </c>
      <c r="P44" s="330">
        <v>229</v>
      </c>
      <c r="Q44" s="331" t="s">
        <v>1259</v>
      </c>
      <c r="R44" s="330">
        <v>2</v>
      </c>
    </row>
    <row r="45" spans="1:18" ht="18">
      <c r="A45" s="313">
        <v>230</v>
      </c>
      <c r="B45" s="314" t="s">
        <v>1260</v>
      </c>
      <c r="C45" s="313">
        <v>2</v>
      </c>
      <c r="D45" s="316">
        <v>230</v>
      </c>
      <c r="E45" s="317" t="s">
        <v>1260</v>
      </c>
      <c r="F45" s="316">
        <v>0</v>
      </c>
      <c r="G45" s="319">
        <v>230</v>
      </c>
      <c r="H45" s="320" t="s">
        <v>1260</v>
      </c>
      <c r="I45" s="319">
        <v>0</v>
      </c>
      <c r="J45" s="323">
        <v>230</v>
      </c>
      <c r="K45" s="324" t="s">
        <v>1260</v>
      </c>
      <c r="L45" s="323">
        <v>0</v>
      </c>
      <c r="M45" s="326">
        <v>230</v>
      </c>
      <c r="N45" s="327" t="s">
        <v>1260</v>
      </c>
      <c r="O45" s="326">
        <v>0</v>
      </c>
      <c r="P45" s="330">
        <v>230</v>
      </c>
      <c r="Q45" s="331" t="s">
        <v>1260</v>
      </c>
      <c r="R45" s="330">
        <v>2</v>
      </c>
    </row>
    <row r="46" spans="1:18" ht="18">
      <c r="A46" s="313">
        <v>231</v>
      </c>
      <c r="B46" s="314" t="s">
        <v>33</v>
      </c>
      <c r="C46" s="313">
        <v>30</v>
      </c>
      <c r="D46" s="316">
        <v>231</v>
      </c>
      <c r="E46" s="317" t="s">
        <v>33</v>
      </c>
      <c r="F46" s="316">
        <v>1</v>
      </c>
      <c r="G46" s="319">
        <v>231</v>
      </c>
      <c r="H46" s="320" t="s">
        <v>33</v>
      </c>
      <c r="I46" s="319">
        <v>0</v>
      </c>
      <c r="J46" s="323">
        <v>231</v>
      </c>
      <c r="K46" s="324" t="s">
        <v>33</v>
      </c>
      <c r="L46" s="323">
        <v>0</v>
      </c>
      <c r="M46" s="326">
        <v>231</v>
      </c>
      <c r="N46" s="327" t="s">
        <v>33</v>
      </c>
      <c r="O46" s="326">
        <v>1</v>
      </c>
      <c r="P46" s="330">
        <v>231</v>
      </c>
      <c r="Q46" s="331" t="s">
        <v>33</v>
      </c>
      <c r="R46" s="330">
        <v>2</v>
      </c>
    </row>
    <row r="47" spans="1:18" ht="18">
      <c r="A47" s="313">
        <v>232</v>
      </c>
      <c r="B47" s="314" t="s">
        <v>1261</v>
      </c>
      <c r="C47" s="313">
        <v>7</v>
      </c>
      <c r="D47" s="316">
        <v>232</v>
      </c>
      <c r="E47" s="317" t="s">
        <v>1261</v>
      </c>
      <c r="F47" s="316">
        <v>0</v>
      </c>
      <c r="G47" s="319">
        <v>232</v>
      </c>
      <c r="H47" s="320" t="s">
        <v>1261</v>
      </c>
      <c r="I47" s="319">
        <v>0</v>
      </c>
      <c r="J47" s="323">
        <v>232</v>
      </c>
      <c r="K47" s="324" t="s">
        <v>1261</v>
      </c>
      <c r="L47" s="323">
        <v>0</v>
      </c>
      <c r="M47" s="326">
        <v>232</v>
      </c>
      <c r="N47" s="327" t="s">
        <v>1261</v>
      </c>
      <c r="O47" s="326">
        <v>0</v>
      </c>
      <c r="P47" s="330">
        <v>232</v>
      </c>
      <c r="Q47" s="331" t="s">
        <v>1261</v>
      </c>
      <c r="R47" s="330">
        <v>0</v>
      </c>
    </row>
    <row r="48" spans="1:18" ht="18">
      <c r="A48" s="313">
        <v>233</v>
      </c>
      <c r="B48" s="314" t="s">
        <v>1262</v>
      </c>
      <c r="C48" s="313">
        <v>12</v>
      </c>
      <c r="D48" s="316">
        <v>233</v>
      </c>
      <c r="E48" s="317" t="s">
        <v>1262</v>
      </c>
      <c r="F48" s="316">
        <v>0</v>
      </c>
      <c r="G48" s="319">
        <v>233</v>
      </c>
      <c r="H48" s="320" t="s">
        <v>1262</v>
      </c>
      <c r="I48" s="319">
        <v>0</v>
      </c>
      <c r="J48" s="323">
        <v>233</v>
      </c>
      <c r="K48" s="324" t="s">
        <v>1262</v>
      </c>
      <c r="L48" s="323">
        <v>0</v>
      </c>
      <c r="M48" s="326">
        <v>233</v>
      </c>
      <c r="N48" s="327" t="s">
        <v>1262</v>
      </c>
      <c r="O48" s="326">
        <v>0</v>
      </c>
      <c r="P48" s="330">
        <v>233</v>
      </c>
      <c r="Q48" s="331" t="s">
        <v>1262</v>
      </c>
      <c r="R48" s="330">
        <v>3</v>
      </c>
    </row>
    <row r="49" spans="1:18" ht="18">
      <c r="A49" s="313">
        <v>234</v>
      </c>
      <c r="B49" s="314" t="s">
        <v>1263</v>
      </c>
      <c r="C49" s="313">
        <v>2</v>
      </c>
      <c r="D49" s="316">
        <v>234</v>
      </c>
      <c r="E49" s="317" t="s">
        <v>1263</v>
      </c>
      <c r="F49" s="316">
        <v>0</v>
      </c>
      <c r="G49" s="319">
        <v>234</v>
      </c>
      <c r="H49" s="320" t="s">
        <v>1263</v>
      </c>
      <c r="I49" s="319">
        <v>0</v>
      </c>
      <c r="J49" s="323">
        <v>234</v>
      </c>
      <c r="K49" s="324" t="s">
        <v>1263</v>
      </c>
      <c r="L49" s="323">
        <v>0</v>
      </c>
      <c r="M49" s="326">
        <v>234</v>
      </c>
      <c r="N49" s="327" t="s">
        <v>1263</v>
      </c>
      <c r="O49" s="326">
        <v>0</v>
      </c>
      <c r="P49" s="330">
        <v>234</v>
      </c>
      <c r="Q49" s="331" t="s">
        <v>1263</v>
      </c>
      <c r="R49" s="330">
        <v>2</v>
      </c>
    </row>
    <row r="50" spans="1:18" ht="18">
      <c r="A50" s="313">
        <v>235</v>
      </c>
      <c r="B50" s="314" t="s">
        <v>1264</v>
      </c>
      <c r="C50" s="313">
        <v>2</v>
      </c>
      <c r="D50" s="316">
        <v>235</v>
      </c>
      <c r="E50" s="317" t="s">
        <v>1264</v>
      </c>
      <c r="F50" s="316">
        <v>0</v>
      </c>
      <c r="G50" s="319">
        <v>235</v>
      </c>
      <c r="H50" s="320" t="s">
        <v>1264</v>
      </c>
      <c r="I50" s="319">
        <v>0</v>
      </c>
      <c r="J50" s="323">
        <v>235</v>
      </c>
      <c r="K50" s="324" t="s">
        <v>1264</v>
      </c>
      <c r="L50" s="323">
        <v>0</v>
      </c>
      <c r="M50" s="326">
        <v>235</v>
      </c>
      <c r="N50" s="327" t="s">
        <v>1264</v>
      </c>
      <c r="O50" s="326">
        <v>0</v>
      </c>
      <c r="P50" s="330">
        <v>235</v>
      </c>
      <c r="Q50" s="331" t="s">
        <v>1264</v>
      </c>
      <c r="R50" s="330">
        <v>0</v>
      </c>
    </row>
    <row r="51" spans="1:18" ht="18">
      <c r="A51" s="313">
        <v>236</v>
      </c>
      <c r="B51" s="314" t="s">
        <v>1265</v>
      </c>
      <c r="C51" s="313">
        <v>4</v>
      </c>
      <c r="D51" s="316">
        <v>236</v>
      </c>
      <c r="E51" s="317" t="s">
        <v>1265</v>
      </c>
      <c r="F51" s="316">
        <v>0</v>
      </c>
      <c r="G51" s="319">
        <v>236</v>
      </c>
      <c r="H51" s="320" t="s">
        <v>1265</v>
      </c>
      <c r="I51" s="319">
        <v>0</v>
      </c>
      <c r="J51" s="323">
        <v>236</v>
      </c>
      <c r="K51" s="324" t="s">
        <v>1265</v>
      </c>
      <c r="L51" s="323">
        <v>0</v>
      </c>
      <c r="M51" s="326">
        <v>236</v>
      </c>
      <c r="N51" s="327" t="s">
        <v>1265</v>
      </c>
      <c r="O51" s="326">
        <v>0</v>
      </c>
      <c r="P51" s="330">
        <v>236</v>
      </c>
      <c r="Q51" s="331" t="s">
        <v>1265</v>
      </c>
      <c r="R51" s="330">
        <v>0</v>
      </c>
    </row>
    <row r="52" spans="1:18" ht="18">
      <c r="A52" s="313">
        <v>252</v>
      </c>
      <c r="B52" s="314" t="s">
        <v>34</v>
      </c>
      <c r="C52" s="313">
        <v>3</v>
      </c>
      <c r="D52" s="316">
        <v>252</v>
      </c>
      <c r="E52" s="317" t="s">
        <v>34</v>
      </c>
      <c r="F52" s="316">
        <v>0</v>
      </c>
      <c r="G52" s="319">
        <v>252</v>
      </c>
      <c r="H52" s="320" t="s">
        <v>34</v>
      </c>
      <c r="I52" s="319">
        <v>0</v>
      </c>
      <c r="J52" s="323">
        <v>252</v>
      </c>
      <c r="K52" s="324" t="s">
        <v>34</v>
      </c>
      <c r="L52" s="323">
        <v>0</v>
      </c>
      <c r="M52" s="326">
        <v>252</v>
      </c>
      <c r="N52" s="327" t="s">
        <v>34</v>
      </c>
      <c r="O52" s="326">
        <v>0</v>
      </c>
      <c r="P52" s="330">
        <v>252</v>
      </c>
      <c r="Q52" s="331" t="s">
        <v>34</v>
      </c>
      <c r="R52" s="330">
        <v>0</v>
      </c>
    </row>
    <row r="53" spans="1:18" ht="18">
      <c r="A53" s="313">
        <v>237</v>
      </c>
      <c r="B53" s="314" t="s">
        <v>1266</v>
      </c>
      <c r="C53" s="313">
        <v>4</v>
      </c>
      <c r="D53" s="316">
        <v>237</v>
      </c>
      <c r="E53" s="317" t="s">
        <v>1266</v>
      </c>
      <c r="F53" s="316">
        <v>0</v>
      </c>
      <c r="G53" s="319">
        <v>237</v>
      </c>
      <c r="H53" s="320" t="s">
        <v>1266</v>
      </c>
      <c r="I53" s="319">
        <v>0</v>
      </c>
      <c r="J53" s="323">
        <v>237</v>
      </c>
      <c r="K53" s="324" t="s">
        <v>1266</v>
      </c>
      <c r="L53" s="323">
        <v>0</v>
      </c>
      <c r="M53" s="326">
        <v>237</v>
      </c>
      <c r="N53" s="327" t="s">
        <v>1266</v>
      </c>
      <c r="O53" s="326">
        <v>0</v>
      </c>
      <c r="P53" s="330">
        <v>237</v>
      </c>
      <c r="Q53" s="331" t="s">
        <v>1266</v>
      </c>
      <c r="R53" s="330">
        <v>0</v>
      </c>
    </row>
    <row r="54" spans="1:18" ht="18">
      <c r="A54" s="313">
        <v>301</v>
      </c>
      <c r="B54" s="314" t="s">
        <v>1267</v>
      </c>
      <c r="C54" s="313">
        <v>12</v>
      </c>
      <c r="D54" s="316">
        <v>301</v>
      </c>
      <c r="E54" s="317" t="s">
        <v>1267</v>
      </c>
      <c r="F54" s="316">
        <v>0</v>
      </c>
      <c r="G54" s="319">
        <v>301</v>
      </c>
      <c r="H54" s="320" t="s">
        <v>1267</v>
      </c>
      <c r="I54" s="319">
        <v>0</v>
      </c>
      <c r="J54" s="323">
        <v>301</v>
      </c>
      <c r="K54" s="324" t="s">
        <v>1267</v>
      </c>
      <c r="L54" s="323">
        <v>0</v>
      </c>
      <c r="M54" s="326">
        <v>301</v>
      </c>
      <c r="N54" s="327" t="s">
        <v>1267</v>
      </c>
      <c r="O54" s="326">
        <v>0</v>
      </c>
      <c r="P54" s="330">
        <v>301</v>
      </c>
      <c r="Q54" s="331" t="s">
        <v>1267</v>
      </c>
      <c r="R54" s="330">
        <v>0</v>
      </c>
    </row>
    <row r="55" spans="1:18" ht="18">
      <c r="A55" s="313">
        <v>238</v>
      </c>
      <c r="B55" s="314" t="s">
        <v>1268</v>
      </c>
      <c r="C55" s="313">
        <v>0</v>
      </c>
      <c r="D55" s="316">
        <v>238</v>
      </c>
      <c r="E55" s="317" t="s">
        <v>1268</v>
      </c>
      <c r="F55" s="316">
        <v>0</v>
      </c>
      <c r="G55" s="319">
        <v>238</v>
      </c>
      <c r="H55" s="320" t="s">
        <v>1268</v>
      </c>
      <c r="I55" s="319">
        <v>0</v>
      </c>
      <c r="J55" s="323">
        <v>238</v>
      </c>
      <c r="K55" s="324" t="s">
        <v>1268</v>
      </c>
      <c r="L55" s="323">
        <v>0</v>
      </c>
      <c r="M55" s="326">
        <v>238</v>
      </c>
      <c r="N55" s="327" t="s">
        <v>1268</v>
      </c>
      <c r="O55" s="326">
        <v>0</v>
      </c>
      <c r="P55" s="330">
        <v>238</v>
      </c>
      <c r="Q55" s="331" t="s">
        <v>1268</v>
      </c>
      <c r="R55" s="330">
        <v>0</v>
      </c>
    </row>
    <row r="56" spans="1:18" ht="18">
      <c r="A56" s="313">
        <v>239</v>
      </c>
      <c r="B56" s="314" t="s">
        <v>1269</v>
      </c>
      <c r="C56" s="313">
        <v>8</v>
      </c>
      <c r="D56" s="316">
        <v>239</v>
      </c>
      <c r="E56" s="317" t="s">
        <v>1269</v>
      </c>
      <c r="F56" s="316">
        <v>0</v>
      </c>
      <c r="G56" s="319">
        <v>239</v>
      </c>
      <c r="H56" s="320" t="s">
        <v>1269</v>
      </c>
      <c r="I56" s="319">
        <v>0</v>
      </c>
      <c r="J56" s="323">
        <v>239</v>
      </c>
      <c r="K56" s="324" t="s">
        <v>1269</v>
      </c>
      <c r="L56" s="323">
        <v>0</v>
      </c>
      <c r="M56" s="326">
        <v>239</v>
      </c>
      <c r="N56" s="327" t="s">
        <v>1269</v>
      </c>
      <c r="O56" s="326">
        <v>0</v>
      </c>
      <c r="P56" s="330">
        <v>239</v>
      </c>
      <c r="Q56" s="331" t="s">
        <v>1269</v>
      </c>
      <c r="R56" s="330">
        <v>0</v>
      </c>
    </row>
    <row r="57" spans="1:18" ht="18">
      <c r="A57" s="313">
        <v>240</v>
      </c>
      <c r="B57" s="314" t="s">
        <v>1270</v>
      </c>
      <c r="C57" s="313">
        <v>2</v>
      </c>
      <c r="D57" s="316">
        <v>240</v>
      </c>
      <c r="E57" s="317" t="s">
        <v>1270</v>
      </c>
      <c r="F57" s="316">
        <v>0</v>
      </c>
      <c r="G57" s="319">
        <v>240</v>
      </c>
      <c r="H57" s="320" t="s">
        <v>1270</v>
      </c>
      <c r="I57" s="319">
        <v>0</v>
      </c>
      <c r="J57" s="323">
        <v>240</v>
      </c>
      <c r="K57" s="324" t="s">
        <v>1270</v>
      </c>
      <c r="L57" s="323">
        <v>0</v>
      </c>
      <c r="M57" s="326">
        <v>240</v>
      </c>
      <c r="N57" s="327" t="s">
        <v>1270</v>
      </c>
      <c r="O57" s="326">
        <v>0</v>
      </c>
      <c r="P57" s="330">
        <v>240</v>
      </c>
      <c r="Q57" s="331" t="s">
        <v>1270</v>
      </c>
      <c r="R57" s="330">
        <v>0</v>
      </c>
    </row>
    <row r="58" spans="1:18" ht="18">
      <c r="A58" s="313">
        <v>241</v>
      </c>
      <c r="B58" s="314" t="s">
        <v>1271</v>
      </c>
      <c r="C58" s="313">
        <v>13</v>
      </c>
      <c r="D58" s="316">
        <v>241</v>
      </c>
      <c r="E58" s="317" t="s">
        <v>1271</v>
      </c>
      <c r="F58" s="316">
        <v>0</v>
      </c>
      <c r="G58" s="319">
        <v>241</v>
      </c>
      <c r="H58" s="320" t="s">
        <v>1271</v>
      </c>
      <c r="I58" s="319">
        <v>0</v>
      </c>
      <c r="J58" s="323">
        <v>241</v>
      </c>
      <c r="K58" s="324" t="s">
        <v>1271</v>
      </c>
      <c r="L58" s="323">
        <v>0</v>
      </c>
      <c r="M58" s="326">
        <v>241</v>
      </c>
      <c r="N58" s="327" t="s">
        <v>1271</v>
      </c>
      <c r="O58" s="326">
        <v>0</v>
      </c>
      <c r="P58" s="330">
        <v>241</v>
      </c>
      <c r="Q58" s="331" t="s">
        <v>1271</v>
      </c>
      <c r="R58" s="330">
        <v>0</v>
      </c>
    </row>
    <row r="59" spans="1:18" ht="18">
      <c r="A59" s="313">
        <v>242</v>
      </c>
      <c r="B59" s="314" t="s">
        <v>1272</v>
      </c>
      <c r="C59" s="313">
        <v>5</v>
      </c>
      <c r="D59" s="316">
        <v>242</v>
      </c>
      <c r="E59" s="317" t="s">
        <v>1272</v>
      </c>
      <c r="F59" s="316">
        <v>0</v>
      </c>
      <c r="G59" s="319">
        <v>242</v>
      </c>
      <c r="H59" s="320" t="s">
        <v>1272</v>
      </c>
      <c r="I59" s="319">
        <v>0</v>
      </c>
      <c r="J59" s="323">
        <v>242</v>
      </c>
      <c r="K59" s="324" t="s">
        <v>1272</v>
      </c>
      <c r="L59" s="323">
        <v>0</v>
      </c>
      <c r="M59" s="326">
        <v>242</v>
      </c>
      <c r="N59" s="327" t="s">
        <v>1272</v>
      </c>
      <c r="O59" s="326">
        <v>0</v>
      </c>
      <c r="P59" s="330">
        <v>242</v>
      </c>
      <c r="Q59" s="331" t="s">
        <v>1272</v>
      </c>
      <c r="R59" s="330">
        <v>0</v>
      </c>
    </row>
    <row r="60" spans="1:18" ht="18">
      <c r="A60" s="313">
        <v>243</v>
      </c>
      <c r="B60" s="314" t="s">
        <v>1273</v>
      </c>
      <c r="C60" s="313">
        <v>4</v>
      </c>
      <c r="D60" s="316">
        <v>243</v>
      </c>
      <c r="E60" s="317" t="s">
        <v>1273</v>
      </c>
      <c r="F60" s="316">
        <v>0</v>
      </c>
      <c r="G60" s="319">
        <v>243</v>
      </c>
      <c r="H60" s="320" t="s">
        <v>1273</v>
      </c>
      <c r="I60" s="319">
        <v>0</v>
      </c>
      <c r="J60" s="323">
        <v>243</v>
      </c>
      <c r="K60" s="324" t="s">
        <v>1273</v>
      </c>
      <c r="L60" s="323">
        <v>0</v>
      </c>
      <c r="M60" s="326">
        <v>243</v>
      </c>
      <c r="N60" s="327" t="s">
        <v>1273</v>
      </c>
      <c r="O60" s="326">
        <v>0</v>
      </c>
      <c r="P60" s="330">
        <v>243</v>
      </c>
      <c r="Q60" s="331" t="s">
        <v>1273</v>
      </c>
      <c r="R60" s="330">
        <v>2</v>
      </c>
    </row>
    <row r="61" spans="1:18" ht="18">
      <c r="A61" s="313">
        <v>244</v>
      </c>
      <c r="B61" s="314" t="s">
        <v>1274</v>
      </c>
      <c r="C61" s="313">
        <v>8</v>
      </c>
      <c r="D61" s="316">
        <v>244</v>
      </c>
      <c r="E61" s="317" t="s">
        <v>1274</v>
      </c>
      <c r="F61" s="316">
        <v>0</v>
      </c>
      <c r="G61" s="319">
        <v>244</v>
      </c>
      <c r="H61" s="320" t="s">
        <v>1274</v>
      </c>
      <c r="I61" s="319">
        <v>0</v>
      </c>
      <c r="J61" s="323">
        <v>244</v>
      </c>
      <c r="K61" s="324" t="s">
        <v>1274</v>
      </c>
      <c r="L61" s="323">
        <v>0</v>
      </c>
      <c r="M61" s="326">
        <v>244</v>
      </c>
      <c r="N61" s="327" t="s">
        <v>1274</v>
      </c>
      <c r="O61" s="326">
        <v>0</v>
      </c>
      <c r="P61" s="330">
        <v>244</v>
      </c>
      <c r="Q61" s="331" t="s">
        <v>1274</v>
      </c>
      <c r="R61" s="330">
        <v>0</v>
      </c>
    </row>
    <row r="62" spans="1:18" ht="18">
      <c r="A62" s="313">
        <v>401</v>
      </c>
      <c r="B62" s="314" t="s">
        <v>1275</v>
      </c>
      <c r="C62" s="313">
        <v>9</v>
      </c>
      <c r="D62" s="316">
        <v>401</v>
      </c>
      <c r="E62" s="317" t="s">
        <v>1275</v>
      </c>
      <c r="F62" s="316">
        <v>0</v>
      </c>
      <c r="G62" s="319">
        <v>401</v>
      </c>
      <c r="H62" s="320" t="s">
        <v>1275</v>
      </c>
      <c r="I62" s="319">
        <v>0</v>
      </c>
      <c r="J62" s="323">
        <v>401</v>
      </c>
      <c r="K62" s="324" t="s">
        <v>1275</v>
      </c>
      <c r="L62" s="323">
        <v>0</v>
      </c>
      <c r="M62" s="326">
        <v>401</v>
      </c>
      <c r="N62" s="327" t="s">
        <v>1275</v>
      </c>
      <c r="O62" s="326">
        <v>0</v>
      </c>
      <c r="P62" s="330">
        <v>401</v>
      </c>
      <c r="Q62" s="331" t="s">
        <v>1275</v>
      </c>
      <c r="R62" s="330">
        <v>0</v>
      </c>
    </row>
  </sheetData>
  <mergeCells count="6">
    <mergeCell ref="P1:R1"/>
    <mergeCell ref="A1:C1"/>
    <mergeCell ref="D1:F1"/>
    <mergeCell ref="G1:I1"/>
    <mergeCell ref="J1:L1"/>
    <mergeCell ref="M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95</vt:i4>
      </vt:variant>
      <vt:variant>
        <vt:lpstr>Именованные диапазоны</vt:lpstr>
      </vt:variant>
      <vt:variant>
        <vt:i4>6</vt:i4>
      </vt:variant>
    </vt:vector>
  </HeadingPairs>
  <TitlesOfParts>
    <vt:vector size="101" baseType="lpstr">
      <vt:lpstr>Диаграммы</vt:lpstr>
      <vt:lpstr>Сведения о преступности</vt:lpstr>
      <vt:lpstr>Раскрываемость</vt:lpstr>
      <vt:lpstr>Рейтинг</vt:lpstr>
      <vt:lpstr>Перечень</vt:lpstr>
      <vt:lpstr>Справочник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400</vt:lpstr>
      <vt:lpstr>300</vt:lpstr>
      <vt:lpstr>101</vt:lpstr>
      <vt:lpstr>102</vt:lpstr>
      <vt:lpstr>103</vt:lpstr>
      <vt:lpstr>104</vt:lpstr>
      <vt:lpstr>104 (4)</vt:lpstr>
      <vt:lpstr>104 (8)</vt:lpstr>
      <vt:lpstr>105</vt:lpstr>
      <vt:lpstr>105 (5)</vt:lpstr>
      <vt:lpstr>105 (9)</vt:lpstr>
      <vt:lpstr>105 (10)</vt:lpstr>
      <vt:lpstr>105 (11)</vt:lpstr>
      <vt:lpstr>106</vt:lpstr>
      <vt:lpstr>106 (6)</vt:lpstr>
      <vt:lpstr>106 (12)</vt:lpstr>
      <vt:lpstr>107</vt:lpstr>
      <vt:lpstr>112</vt:lpstr>
      <vt:lpstr>201</vt:lpstr>
      <vt:lpstr>202</vt:lpstr>
      <vt:lpstr>203</vt:lpstr>
      <vt:lpstr>249</vt:lpstr>
      <vt:lpstr>204</vt:lpstr>
      <vt:lpstr>207</vt:lpstr>
      <vt:lpstr>205</vt:lpstr>
      <vt:lpstr>206</vt:lpstr>
      <vt:lpstr>250</vt:lpstr>
      <vt:lpstr>208</vt:lpstr>
      <vt:lpstr>209</vt:lpstr>
      <vt:lpstr>210</vt:lpstr>
      <vt:lpstr>211</vt:lpstr>
      <vt:lpstr>212</vt:lpstr>
      <vt:lpstr>213</vt:lpstr>
      <vt:lpstr>83</vt:lpstr>
      <vt:lpstr>66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245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252</vt:lpstr>
      <vt:lpstr>237</vt:lpstr>
      <vt:lpstr>301</vt:lpstr>
      <vt:lpstr>238</vt:lpstr>
      <vt:lpstr>239</vt:lpstr>
      <vt:lpstr>240</vt:lpstr>
      <vt:lpstr>241</vt:lpstr>
      <vt:lpstr>241 (Ужур)</vt:lpstr>
      <vt:lpstr>241 (Солнечный)</vt:lpstr>
      <vt:lpstr>242</vt:lpstr>
      <vt:lpstr>243</vt:lpstr>
      <vt:lpstr>244</vt:lpstr>
      <vt:lpstr>401</vt:lpstr>
      <vt:lpstr>860</vt:lpstr>
      <vt:lpstr>Лист2</vt:lpstr>
      <vt:lpstr>Лист3</vt:lpstr>
      <vt:lpstr>АНАЛИЗ МОЙ</vt:lpstr>
      <vt:lpstr>ОМ</vt:lpstr>
      <vt:lpstr>АО</vt:lpstr>
      <vt:lpstr>Рейтинг!Заголовки_для_печати</vt:lpstr>
      <vt:lpstr>'АНАЛИЗ МОЙ'!Область_печати</vt:lpstr>
      <vt:lpstr>Диаграммы!Область_печати</vt:lpstr>
      <vt:lpstr>Раскрываемость!Область_печати</vt:lpstr>
      <vt:lpstr>Рейтинг!Область_печати</vt:lpstr>
      <vt:lpstr>'Сведения о преступности'!Область_печати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Губкин Дмитрий Васильевич</dc:creator>
  <cp:lastModifiedBy>ws_642</cp:lastModifiedBy>
  <cp:lastPrinted>2018-02-01T01:46:56Z</cp:lastPrinted>
  <dcterms:created xsi:type="dcterms:W3CDTF">2015-02-16T11:02:29Z</dcterms:created>
  <dcterms:modified xsi:type="dcterms:W3CDTF">2019-02-05T08:28:04Z</dcterms:modified>
</cp:coreProperties>
</file>